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bedn\Dropbox (GHHS)\Administration\board\2020\"/>
    </mc:Choice>
  </mc:AlternateContent>
  <xr:revisionPtr revIDLastSave="0" documentId="13_ncr:1_{1638B02B-6B6F-4B05-85AD-ABD38745AEEB}" xr6:coauthVersionLast="36" xr6:coauthVersionMax="36" xr10:uidLastSave="{00000000-0000-0000-0000-000000000000}"/>
  <bookViews>
    <workbookView xWindow="0" yWindow="0" windowWidth="19200" windowHeight="6930" activeTab="6" xr2:uid="{00000000-000D-0000-FFFF-FFFF00000000}"/>
  </bookViews>
  <sheets>
    <sheet name="Jan Income" sheetId="25" r:id="rId1"/>
    <sheet name="Jan Statistics" sheetId="2" r:id="rId2"/>
    <sheet name="Feb Income" sheetId="26" r:id="rId3"/>
    <sheet name="Feb Statistics" sheetId="4" r:id="rId4"/>
    <sheet name="Mar Income" sheetId="5" r:id="rId5"/>
    <sheet name="Mar Statistic" sheetId="6" r:id="rId6"/>
    <sheet name="Apr Income" sheetId="7" r:id="rId7"/>
    <sheet name="Apr Statistics" sheetId="28" r:id="rId8"/>
    <sheet name="May Income" sheetId="9" r:id="rId9"/>
    <sheet name="May Statistic" sheetId="10" r:id="rId10"/>
    <sheet name="June Income" sheetId="11" r:id="rId11"/>
    <sheet name="June Statistic" sheetId="12" r:id="rId12"/>
    <sheet name="July Income" sheetId="13" r:id="rId13"/>
    <sheet name="July Statistic" sheetId="14" r:id="rId14"/>
    <sheet name="Aug Income" sheetId="15" r:id="rId15"/>
    <sheet name="Aug Statistic" sheetId="16" r:id="rId16"/>
    <sheet name="Sept Income" sheetId="17" r:id="rId17"/>
    <sheet name="Sept Statistic" sheetId="18" r:id="rId18"/>
    <sheet name="Oct Income" sheetId="19" r:id="rId19"/>
    <sheet name="Oct Statistic" sheetId="20" r:id="rId20"/>
    <sheet name="Nov Income" sheetId="21" r:id="rId21"/>
    <sheet name="Nov Statistic" sheetId="22" r:id="rId22"/>
    <sheet name="Dec Income" sheetId="27" r:id="rId23"/>
    <sheet name="Dec Statistic" sheetId="24" r:id="rId24"/>
  </sheets>
  <externalReferences>
    <externalReference r:id="rId25"/>
    <externalReference r:id="rId26"/>
    <externalReference r:id="rId27"/>
  </externalReferences>
  <calcPr calcId="191029"/>
</workbook>
</file>

<file path=xl/calcChain.xml><?xml version="1.0" encoding="utf-8"?>
<calcChain xmlns="http://schemas.openxmlformats.org/spreadsheetml/2006/main">
  <c r="J29" i="28" l="1"/>
  <c r="J28" i="28"/>
  <c r="J27" i="28"/>
  <c r="J26" i="28"/>
  <c r="J25" i="28"/>
  <c r="J24" i="28"/>
  <c r="J23" i="28"/>
  <c r="J22" i="28"/>
  <c r="J21" i="28"/>
  <c r="J20" i="28"/>
  <c r="J19" i="28"/>
  <c r="J18" i="28"/>
  <c r="J17" i="28"/>
  <c r="J16" i="28"/>
  <c r="J15" i="28"/>
  <c r="J14" i="28"/>
  <c r="J13" i="28"/>
  <c r="J12" i="28"/>
  <c r="J11" i="28"/>
  <c r="J10" i="28"/>
  <c r="J9" i="28"/>
  <c r="D29" i="28"/>
  <c r="D24" i="28"/>
  <c r="D26" i="28" s="1"/>
  <c r="D23" i="28"/>
  <c r="A29" i="28" l="1"/>
  <c r="E29" i="28" l="1"/>
  <c r="C29" i="28"/>
  <c r="E27" i="28"/>
  <c r="C27" i="28"/>
  <c r="E25" i="28"/>
  <c r="C25" i="28"/>
  <c r="B24" i="28"/>
  <c r="A24" i="28"/>
  <c r="B23" i="28"/>
  <c r="A23" i="28"/>
  <c r="E22" i="28"/>
  <c r="C22" i="28"/>
  <c r="E21" i="28"/>
  <c r="C21" i="28"/>
  <c r="E20" i="28"/>
  <c r="C20" i="28"/>
  <c r="E19" i="28"/>
  <c r="C19" i="28"/>
  <c r="E18" i="28"/>
  <c r="C18" i="28"/>
  <c r="E17" i="28"/>
  <c r="C17" i="28"/>
  <c r="E16" i="28"/>
  <c r="C16" i="28"/>
  <c r="E15" i="28"/>
  <c r="C15" i="28"/>
  <c r="E14" i="28"/>
  <c r="C14" i="28"/>
  <c r="E13" i="28"/>
  <c r="C13" i="28"/>
  <c r="E12" i="28"/>
  <c r="C12" i="28"/>
  <c r="E11" i="28"/>
  <c r="C11" i="28"/>
  <c r="E10" i="28"/>
  <c r="C10" i="28"/>
  <c r="E9" i="28"/>
  <c r="C9" i="28"/>
  <c r="B26" i="7"/>
  <c r="B14" i="7"/>
  <c r="B30" i="7"/>
  <c r="B29" i="7"/>
  <c r="B22" i="7"/>
  <c r="B21" i="7"/>
  <c r="B27" i="7"/>
  <c r="B37" i="7"/>
  <c r="B24" i="7"/>
  <c r="B38" i="7"/>
  <c r="B23" i="7"/>
  <c r="B10" i="7"/>
  <c r="B9" i="7"/>
  <c r="B26" i="28" l="1"/>
  <c r="A26" i="28"/>
  <c r="E24" i="28"/>
  <c r="E26" i="28" s="1"/>
  <c r="C23" i="28"/>
  <c r="C24" i="28"/>
  <c r="C26" i="28" s="1"/>
  <c r="E23" i="28"/>
  <c r="A26" i="7"/>
  <c r="A24" i="7" l="1"/>
  <c r="A31" i="7"/>
  <c r="A30" i="7"/>
  <c r="A22" i="7"/>
  <c r="A21" i="7"/>
  <c r="A29" i="7"/>
  <c r="A27" i="7"/>
  <c r="A23" i="7"/>
  <c r="A14" i="7"/>
  <c r="A37" i="7"/>
  <c r="A38" i="7"/>
  <c r="A10" i="7"/>
  <c r="J13" i="7"/>
  <c r="J17" i="7"/>
  <c r="J19" i="7"/>
  <c r="J20" i="7"/>
  <c r="J34" i="7"/>
  <c r="J36" i="7"/>
  <c r="J40" i="7"/>
  <c r="J41" i="7"/>
  <c r="J43" i="7"/>
  <c r="D37" i="7"/>
  <c r="D39" i="7" s="1"/>
  <c r="D31" i="7"/>
  <c r="D30" i="7"/>
  <c r="D29" i="7"/>
  <c r="D27" i="7"/>
  <c r="D26" i="7"/>
  <c r="D24" i="7"/>
  <c r="D23" i="7"/>
  <c r="D22" i="7"/>
  <c r="D21" i="7"/>
  <c r="D14" i="7"/>
  <c r="D16" i="7" s="1"/>
  <c r="D10" i="7"/>
  <c r="D12" i="7" s="1"/>
  <c r="D9" i="7"/>
  <c r="D33" i="7" l="1"/>
  <c r="D18" i="7"/>
  <c r="D35" i="7" s="1"/>
  <c r="D42" i="7" s="1"/>
  <c r="D45" i="7" s="1"/>
  <c r="E44" i="7" l="1"/>
  <c r="C44" i="7"/>
  <c r="B39" i="7"/>
  <c r="E38" i="7"/>
  <c r="C38" i="7"/>
  <c r="C37" i="7"/>
  <c r="C39" i="7" s="1"/>
  <c r="E32" i="7"/>
  <c r="C31" i="7"/>
  <c r="E30" i="7"/>
  <c r="C29" i="7"/>
  <c r="E29" i="7"/>
  <c r="E28" i="7"/>
  <c r="C28" i="7"/>
  <c r="C27" i="7"/>
  <c r="E26" i="7"/>
  <c r="E25" i="7"/>
  <c r="C25" i="7"/>
  <c r="C24" i="7"/>
  <c r="E23" i="7"/>
  <c r="C22" i="7"/>
  <c r="E21" i="7"/>
  <c r="B16" i="7"/>
  <c r="A16" i="7"/>
  <c r="E15" i="7"/>
  <c r="C15" i="7"/>
  <c r="E14" i="7"/>
  <c r="C14" i="7"/>
  <c r="E11" i="7"/>
  <c r="C11" i="7"/>
  <c r="C10" i="7"/>
  <c r="C9" i="7"/>
  <c r="B12" i="7"/>
  <c r="E9" i="7"/>
  <c r="C16" i="7" l="1"/>
  <c r="E16" i="7"/>
  <c r="C12" i="7"/>
  <c r="B18" i="7"/>
  <c r="A33" i="7"/>
  <c r="C21" i="7"/>
  <c r="B33" i="7"/>
  <c r="C23" i="7"/>
  <c r="C26" i="7"/>
  <c r="E31" i="7"/>
  <c r="A12" i="7"/>
  <c r="A18" i="7" s="1"/>
  <c r="E10" i="7"/>
  <c r="E12" i="7" s="1"/>
  <c r="C30" i="7"/>
  <c r="E22" i="7"/>
  <c r="E24" i="7"/>
  <c r="E27" i="7"/>
  <c r="C32" i="7"/>
  <c r="E37" i="7"/>
  <c r="E39" i="7" s="1"/>
  <c r="A39" i="7"/>
  <c r="A26" i="5"/>
  <c r="A37" i="5"/>
  <c r="A35" i="7" l="1"/>
  <c r="A42" i="7" s="1"/>
  <c r="A45" i="7" s="1"/>
  <c r="E45" i="7" s="1"/>
  <c r="B35" i="7"/>
  <c r="C18" i="7"/>
  <c r="E33" i="7"/>
  <c r="E18" i="7"/>
  <c r="C33" i="7"/>
  <c r="D37" i="5"/>
  <c r="D39" i="5" s="1"/>
  <c r="D32" i="5"/>
  <c r="D31" i="5"/>
  <c r="D30" i="5"/>
  <c r="D29" i="5"/>
  <c r="D27" i="5"/>
  <c r="D26" i="5"/>
  <c r="D24" i="5"/>
  <c r="D23" i="5"/>
  <c r="D22" i="5"/>
  <c r="D21" i="5"/>
  <c r="D14" i="5"/>
  <c r="D16" i="5" s="1"/>
  <c r="D10" i="5"/>
  <c r="D9" i="5"/>
  <c r="D12" i="5" l="1"/>
  <c r="D18" i="5" s="1"/>
  <c r="D35" i="5" s="1"/>
  <c r="D42" i="5" s="1"/>
  <c r="D45" i="5" s="1"/>
  <c r="D33" i="5"/>
  <c r="B42" i="7"/>
  <c r="E35" i="7"/>
  <c r="E42" i="7" s="1"/>
  <c r="C35" i="7"/>
  <c r="C42" i="7" s="1"/>
  <c r="B45" i="7" l="1"/>
  <c r="C45" i="7" l="1"/>
  <c r="B26" i="5"/>
  <c r="J44" i="5"/>
  <c r="J44" i="7" s="1"/>
  <c r="J38" i="5"/>
  <c r="J38" i="7" s="1"/>
  <c r="J25" i="5"/>
  <c r="J25" i="7" s="1"/>
  <c r="J11" i="5"/>
  <c r="J11" i="7" s="1"/>
  <c r="H44" i="5"/>
  <c r="H44" i="7" s="1"/>
  <c r="J29" i="6" l="1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A29" i="6" l="1"/>
  <c r="D29" i="6" l="1"/>
  <c r="E29" i="6" s="1"/>
  <c r="C29" i="6"/>
  <c r="E27" i="6"/>
  <c r="C27" i="6"/>
  <c r="E25" i="6"/>
  <c r="C25" i="6"/>
  <c r="D24" i="6"/>
  <c r="D26" i="6" s="1"/>
  <c r="B24" i="6"/>
  <c r="A24" i="6"/>
  <c r="D23" i="6"/>
  <c r="B23" i="6"/>
  <c r="A23" i="6"/>
  <c r="E22" i="6"/>
  <c r="C22" i="6"/>
  <c r="E21" i="6"/>
  <c r="C21" i="6"/>
  <c r="E20" i="6"/>
  <c r="C20" i="6"/>
  <c r="E19" i="6"/>
  <c r="C19" i="6"/>
  <c r="E18" i="6"/>
  <c r="C18" i="6"/>
  <c r="E17" i="6"/>
  <c r="C17" i="6"/>
  <c r="E16" i="6"/>
  <c r="C16" i="6"/>
  <c r="E15" i="6"/>
  <c r="C15" i="6"/>
  <c r="E14" i="6"/>
  <c r="C14" i="6"/>
  <c r="E13" i="6"/>
  <c r="C13" i="6"/>
  <c r="E12" i="6"/>
  <c r="C12" i="6"/>
  <c r="E11" i="6"/>
  <c r="C11" i="6"/>
  <c r="E10" i="6"/>
  <c r="C10" i="6"/>
  <c r="E9" i="6"/>
  <c r="C9" i="6"/>
  <c r="A32" i="5"/>
  <c r="G38" i="5"/>
  <c r="G38" i="7" s="1"/>
  <c r="A24" i="5"/>
  <c r="A31" i="5"/>
  <c r="A44" i="5"/>
  <c r="A30" i="5"/>
  <c r="A22" i="5"/>
  <c r="A21" i="5"/>
  <c r="A29" i="5"/>
  <c r="A27" i="5"/>
  <c r="A23" i="5"/>
  <c r="A14" i="5"/>
  <c r="A15" i="5"/>
  <c r="A10" i="5"/>
  <c r="A9" i="5"/>
  <c r="B25" i="5"/>
  <c r="B14" i="5"/>
  <c r="B30" i="5"/>
  <c r="B29" i="5"/>
  <c r="B22" i="5"/>
  <c r="B21" i="5"/>
  <c r="B27" i="5"/>
  <c r="B24" i="5"/>
  <c r="B15" i="5"/>
  <c r="B32" i="5"/>
  <c r="B37" i="5"/>
  <c r="B23" i="5"/>
  <c r="B10" i="5"/>
  <c r="B9" i="5"/>
  <c r="C23" i="6" l="1"/>
  <c r="E23" i="6"/>
  <c r="C9" i="5"/>
  <c r="K38" i="7"/>
  <c r="C24" i="6"/>
  <c r="C26" i="6" s="1"/>
  <c r="A26" i="6"/>
  <c r="B26" i="6"/>
  <c r="E24" i="6"/>
  <c r="E26" i="6" s="1"/>
  <c r="E44" i="5" l="1"/>
  <c r="C44" i="5"/>
  <c r="A39" i="5"/>
  <c r="E38" i="5"/>
  <c r="C38" i="5"/>
  <c r="B39" i="5"/>
  <c r="E37" i="5"/>
  <c r="E32" i="5"/>
  <c r="C31" i="5"/>
  <c r="E31" i="5"/>
  <c r="C30" i="5"/>
  <c r="E29" i="5"/>
  <c r="C29" i="5"/>
  <c r="C28" i="5"/>
  <c r="C27" i="5"/>
  <c r="C26" i="5"/>
  <c r="E25" i="5"/>
  <c r="C25" i="5"/>
  <c r="C24" i="5"/>
  <c r="E24" i="5"/>
  <c r="E23" i="5"/>
  <c r="C22" i="5"/>
  <c r="B33" i="5"/>
  <c r="E22" i="5"/>
  <c r="B16" i="5"/>
  <c r="A16" i="5"/>
  <c r="C15" i="5"/>
  <c r="C14" i="5"/>
  <c r="B12" i="5"/>
  <c r="A12" i="5"/>
  <c r="E11" i="5"/>
  <c r="C11" i="5"/>
  <c r="C10" i="5"/>
  <c r="C16" i="5" l="1"/>
  <c r="E39" i="5"/>
  <c r="K38" i="5"/>
  <c r="B18" i="5"/>
  <c r="B35" i="5" s="1"/>
  <c r="B42" i="5" s="1"/>
  <c r="B45" i="5" s="1"/>
  <c r="C12" i="5"/>
  <c r="C18" i="5" s="1"/>
  <c r="A18" i="5"/>
  <c r="A33" i="5"/>
  <c r="C21" i="5"/>
  <c r="E9" i="5"/>
  <c r="C23" i="5"/>
  <c r="C32" i="5"/>
  <c r="E28" i="5"/>
  <c r="E14" i="5"/>
  <c r="E15" i="5"/>
  <c r="E21" i="5"/>
  <c r="E26" i="5"/>
  <c r="C37" i="5"/>
  <c r="C39" i="5" s="1"/>
  <c r="E10" i="5"/>
  <c r="E12" i="5" s="1"/>
  <c r="E27" i="5"/>
  <c r="E30" i="5"/>
  <c r="A37" i="26"/>
  <c r="A35" i="5" l="1"/>
  <c r="A42" i="5" s="1"/>
  <c r="A45" i="5" s="1"/>
  <c r="E33" i="5"/>
  <c r="C33" i="5"/>
  <c r="C35" i="5" s="1"/>
  <c r="C42" i="5" s="1"/>
  <c r="E16" i="5"/>
  <c r="E18" i="5" s="1"/>
  <c r="J29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H29" i="4"/>
  <c r="H27" i="4"/>
  <c r="H27" i="6" s="1"/>
  <c r="H27" i="28" s="1"/>
  <c r="H25" i="4"/>
  <c r="H25" i="6" s="1"/>
  <c r="H25" i="28" s="1"/>
  <c r="H10" i="4"/>
  <c r="H10" i="6" s="1"/>
  <c r="H10" i="28" s="1"/>
  <c r="H11" i="4"/>
  <c r="H11" i="6" s="1"/>
  <c r="H11" i="28" s="1"/>
  <c r="H12" i="4"/>
  <c r="H12" i="6" s="1"/>
  <c r="H12" i="28" s="1"/>
  <c r="H13" i="4"/>
  <c r="H13" i="6" s="1"/>
  <c r="H13" i="28" s="1"/>
  <c r="H14" i="4"/>
  <c r="H14" i="6" s="1"/>
  <c r="H14" i="28" s="1"/>
  <c r="H15" i="4"/>
  <c r="H15" i="6" s="1"/>
  <c r="H15" i="28" s="1"/>
  <c r="H16" i="4"/>
  <c r="H16" i="6" s="1"/>
  <c r="H16" i="28" s="1"/>
  <c r="H17" i="4"/>
  <c r="H17" i="6" s="1"/>
  <c r="H17" i="28" s="1"/>
  <c r="H18" i="4"/>
  <c r="H18" i="6" s="1"/>
  <c r="H18" i="28" s="1"/>
  <c r="H19" i="4"/>
  <c r="H19" i="6" s="1"/>
  <c r="H19" i="28" s="1"/>
  <c r="H20" i="4"/>
  <c r="H20" i="6" s="1"/>
  <c r="H20" i="28" s="1"/>
  <c r="H21" i="4"/>
  <c r="H21" i="6" s="1"/>
  <c r="H21" i="28" s="1"/>
  <c r="H22" i="4"/>
  <c r="H22" i="6" s="1"/>
  <c r="H22" i="28" s="1"/>
  <c r="H9" i="4"/>
  <c r="H9" i="6" s="1"/>
  <c r="H9" i="28" s="1"/>
  <c r="G27" i="4"/>
  <c r="G27" i="6" s="1"/>
  <c r="G25" i="4"/>
  <c r="G25" i="6" s="1"/>
  <c r="A23" i="4"/>
  <c r="G10" i="4"/>
  <c r="G10" i="6" s="1"/>
  <c r="G11" i="4"/>
  <c r="G11" i="6" s="1"/>
  <c r="G12" i="4"/>
  <c r="G12" i="6" s="1"/>
  <c r="G13" i="4"/>
  <c r="G14" i="4"/>
  <c r="G14" i="6" s="1"/>
  <c r="G15" i="4"/>
  <c r="G15" i="6" s="1"/>
  <c r="G16" i="4"/>
  <c r="G16" i="6" s="1"/>
  <c r="G17" i="4"/>
  <c r="G17" i="6" s="1"/>
  <c r="G18" i="4"/>
  <c r="G18" i="6" s="1"/>
  <c r="G19" i="4"/>
  <c r="G19" i="6" s="1"/>
  <c r="G20" i="4"/>
  <c r="G20" i="6" s="1"/>
  <c r="G21" i="4"/>
  <c r="G21" i="6" s="1"/>
  <c r="G22" i="4"/>
  <c r="G22" i="6" s="1"/>
  <c r="G9" i="4"/>
  <c r="G9" i="6" s="1"/>
  <c r="D29" i="4"/>
  <c r="D24" i="4"/>
  <c r="D26" i="4" s="1"/>
  <c r="D23" i="4"/>
  <c r="G11" i="28" l="1"/>
  <c r="I11" i="6"/>
  <c r="K11" i="6"/>
  <c r="G10" i="28"/>
  <c r="I10" i="6"/>
  <c r="K10" i="6"/>
  <c r="G17" i="28"/>
  <c r="I17" i="6"/>
  <c r="K17" i="6"/>
  <c r="G16" i="28"/>
  <c r="I16" i="6"/>
  <c r="K16" i="6"/>
  <c r="G24" i="4"/>
  <c r="H29" i="28"/>
  <c r="H29" i="6"/>
  <c r="G18" i="28"/>
  <c r="K18" i="6"/>
  <c r="I18" i="6"/>
  <c r="G9" i="28"/>
  <c r="K9" i="6"/>
  <c r="I9" i="6"/>
  <c r="G15" i="28"/>
  <c r="I15" i="6"/>
  <c r="K15" i="6"/>
  <c r="G25" i="28"/>
  <c r="I25" i="6"/>
  <c r="K25" i="6"/>
  <c r="G22" i="28"/>
  <c r="K22" i="6"/>
  <c r="I22" i="6"/>
  <c r="G19" i="28"/>
  <c r="I19" i="6"/>
  <c r="K19" i="6"/>
  <c r="G21" i="28"/>
  <c r="I21" i="6"/>
  <c r="K21" i="6"/>
  <c r="G23" i="4"/>
  <c r="G23" i="6" s="1"/>
  <c r="G13" i="6"/>
  <c r="G27" i="28"/>
  <c r="K27" i="6"/>
  <c r="I27" i="6"/>
  <c r="H23" i="4"/>
  <c r="H23" i="6" s="1"/>
  <c r="H23" i="28" s="1"/>
  <c r="G14" i="28"/>
  <c r="K14" i="6"/>
  <c r="I14" i="6"/>
  <c r="G20" i="28"/>
  <c r="K20" i="6"/>
  <c r="I20" i="6"/>
  <c r="G12" i="28"/>
  <c r="I12" i="6"/>
  <c r="K12" i="6"/>
  <c r="H24" i="4"/>
  <c r="E45" i="5"/>
  <c r="C45" i="5"/>
  <c r="E35" i="5"/>
  <c r="E42" i="5" s="1"/>
  <c r="A29" i="4"/>
  <c r="I15" i="28" l="1"/>
  <c r="K15" i="28"/>
  <c r="G24" i="6"/>
  <c r="G26" i="4"/>
  <c r="G26" i="6" s="1"/>
  <c r="K27" i="28"/>
  <c r="I27" i="28"/>
  <c r="K17" i="28"/>
  <c r="I17" i="28"/>
  <c r="H24" i="6"/>
  <c r="H24" i="28" s="1"/>
  <c r="H26" i="4"/>
  <c r="H26" i="6" s="1"/>
  <c r="H26" i="28" s="1"/>
  <c r="K22" i="28"/>
  <c r="I22" i="28"/>
  <c r="K10" i="28"/>
  <c r="I10" i="28"/>
  <c r="K18" i="28"/>
  <c r="I18" i="28"/>
  <c r="G13" i="28"/>
  <c r="K13" i="6"/>
  <c r="I13" i="6"/>
  <c r="K14" i="28"/>
  <c r="I14" i="28"/>
  <c r="K9" i="28"/>
  <c r="I9" i="28"/>
  <c r="G23" i="28"/>
  <c r="K23" i="6"/>
  <c r="I23" i="6"/>
  <c r="K21" i="28"/>
  <c r="I21" i="28"/>
  <c r="I16" i="28"/>
  <c r="K16" i="28"/>
  <c r="I19" i="28"/>
  <c r="K19" i="28"/>
  <c r="K20" i="28"/>
  <c r="I20" i="28"/>
  <c r="I12" i="28"/>
  <c r="K12" i="28"/>
  <c r="K25" i="28"/>
  <c r="I25" i="28"/>
  <c r="K11" i="28"/>
  <c r="I11" i="28"/>
  <c r="B26" i="26"/>
  <c r="A26" i="26"/>
  <c r="A32" i="26"/>
  <c r="G26" i="28" l="1"/>
  <c r="K26" i="6"/>
  <c r="I26" i="6"/>
  <c r="G24" i="28"/>
  <c r="I24" i="6"/>
  <c r="K24" i="6"/>
  <c r="K23" i="28"/>
  <c r="I23" i="28"/>
  <c r="I13" i="28"/>
  <c r="K13" i="28"/>
  <c r="I27" i="4"/>
  <c r="K27" i="4"/>
  <c r="E27" i="4"/>
  <c r="C27" i="4"/>
  <c r="K25" i="4"/>
  <c r="E25" i="4"/>
  <c r="C25" i="4"/>
  <c r="B24" i="4"/>
  <c r="B26" i="4" s="1"/>
  <c r="A24" i="4"/>
  <c r="A26" i="4" s="1"/>
  <c r="B23" i="4"/>
  <c r="K22" i="4"/>
  <c r="E22" i="4"/>
  <c r="C22" i="4"/>
  <c r="K21" i="4"/>
  <c r="E21" i="4"/>
  <c r="C21" i="4"/>
  <c r="E20" i="4"/>
  <c r="C20" i="4"/>
  <c r="E19" i="4"/>
  <c r="C19" i="4"/>
  <c r="K18" i="4"/>
  <c r="E18" i="4"/>
  <c r="C18" i="4"/>
  <c r="I17" i="4"/>
  <c r="E17" i="4"/>
  <c r="C17" i="4"/>
  <c r="K16" i="4"/>
  <c r="E16" i="4"/>
  <c r="C16" i="4"/>
  <c r="I15" i="4"/>
  <c r="E15" i="4"/>
  <c r="C15" i="4"/>
  <c r="E14" i="4"/>
  <c r="C14" i="4"/>
  <c r="E13" i="4"/>
  <c r="C13" i="4"/>
  <c r="K12" i="4"/>
  <c r="E12" i="4"/>
  <c r="C12" i="4"/>
  <c r="I11" i="4"/>
  <c r="E11" i="4"/>
  <c r="C11" i="4"/>
  <c r="I10" i="4"/>
  <c r="E10" i="4"/>
  <c r="C10" i="4"/>
  <c r="I9" i="4"/>
  <c r="E9" i="4"/>
  <c r="C9" i="4"/>
  <c r="H44" i="26"/>
  <c r="H11" i="26"/>
  <c r="H11" i="5" s="1"/>
  <c r="H11" i="7" s="1"/>
  <c r="H15" i="26"/>
  <c r="H15" i="5" s="1"/>
  <c r="H28" i="26"/>
  <c r="H28" i="5" s="1"/>
  <c r="H28" i="7" s="1"/>
  <c r="H31" i="26"/>
  <c r="H31" i="5" s="1"/>
  <c r="H31" i="7" s="1"/>
  <c r="H38" i="26"/>
  <c r="H38" i="5" s="1"/>
  <c r="G44" i="26"/>
  <c r="G44" i="5" s="1"/>
  <c r="G44" i="7" l="1"/>
  <c r="I44" i="5"/>
  <c r="K44" i="5"/>
  <c r="K24" i="28"/>
  <c r="I24" i="28"/>
  <c r="H38" i="7"/>
  <c r="I38" i="7" s="1"/>
  <c r="I38" i="5"/>
  <c r="H15" i="7"/>
  <c r="I26" i="28"/>
  <c r="K26" i="28"/>
  <c r="K9" i="4"/>
  <c r="K13" i="4"/>
  <c r="K19" i="4"/>
  <c r="I19" i="4"/>
  <c r="E24" i="4"/>
  <c r="E26" i="4" s="1"/>
  <c r="K15" i="4"/>
  <c r="I12" i="4"/>
  <c r="I20" i="4"/>
  <c r="I14" i="4"/>
  <c r="I25" i="4"/>
  <c r="C24" i="4"/>
  <c r="C26" i="4" s="1"/>
  <c r="E23" i="4"/>
  <c r="I13" i="4"/>
  <c r="I16" i="4"/>
  <c r="C23" i="4"/>
  <c r="K17" i="4"/>
  <c r="I22" i="4"/>
  <c r="I23" i="4"/>
  <c r="K23" i="4"/>
  <c r="K26" i="4"/>
  <c r="I26" i="4"/>
  <c r="K11" i="4"/>
  <c r="K10" i="4"/>
  <c r="K14" i="4"/>
  <c r="I18" i="4"/>
  <c r="K20" i="4"/>
  <c r="C29" i="4"/>
  <c r="I21" i="4"/>
  <c r="E29" i="4"/>
  <c r="I44" i="7" l="1"/>
  <c r="K44" i="7"/>
  <c r="K24" i="4"/>
  <c r="I24" i="4"/>
  <c r="B14" i="26" l="1"/>
  <c r="B30" i="26"/>
  <c r="B29" i="26"/>
  <c r="B22" i="26"/>
  <c r="B21" i="26"/>
  <c r="B27" i="26"/>
  <c r="B24" i="26"/>
  <c r="B32" i="26"/>
  <c r="B37" i="26"/>
  <c r="B23" i="26"/>
  <c r="B10" i="26"/>
  <c r="B9" i="26"/>
  <c r="H32" i="5" l="1"/>
  <c r="H32" i="7" s="1"/>
  <c r="H32" i="26"/>
  <c r="A24" i="26"/>
  <c r="A31" i="26"/>
  <c r="A30" i="26"/>
  <c r="A22" i="26"/>
  <c r="A21" i="26"/>
  <c r="A29" i="26"/>
  <c r="A27" i="26"/>
  <c r="A23" i="26"/>
  <c r="A14" i="26"/>
  <c r="A15" i="26"/>
  <c r="J44" i="26"/>
  <c r="J11" i="26"/>
  <c r="J25" i="26"/>
  <c r="J38" i="26"/>
  <c r="G10" i="26"/>
  <c r="G10" i="5" s="1"/>
  <c r="G11" i="26"/>
  <c r="G11" i="5" s="1"/>
  <c r="G25" i="26"/>
  <c r="G25" i="5" s="1"/>
  <c r="G28" i="26"/>
  <c r="G28" i="5" s="1"/>
  <c r="G38" i="26"/>
  <c r="G9" i="26"/>
  <c r="D37" i="26"/>
  <c r="D32" i="26"/>
  <c r="D31" i="26"/>
  <c r="D30" i="26"/>
  <c r="D29" i="26"/>
  <c r="D28" i="26"/>
  <c r="D27" i="26"/>
  <c r="D26" i="26"/>
  <c r="D24" i="26"/>
  <c r="D23" i="26"/>
  <c r="D22" i="26"/>
  <c r="J22" i="5" s="1"/>
  <c r="J22" i="7" s="1"/>
  <c r="D21" i="26"/>
  <c r="D15" i="26"/>
  <c r="D14" i="26"/>
  <c r="J14" i="5" s="1"/>
  <c r="D10" i="26"/>
  <c r="J10" i="5" s="1"/>
  <c r="J10" i="7" s="1"/>
  <c r="D9" i="26"/>
  <c r="G10" i="7" l="1"/>
  <c r="K10" i="5"/>
  <c r="G9" i="5"/>
  <c r="J14" i="7"/>
  <c r="J28" i="5"/>
  <c r="J28" i="7" s="1"/>
  <c r="G11" i="7"/>
  <c r="I11" i="5"/>
  <c r="K11" i="5"/>
  <c r="J26" i="5"/>
  <c r="J26" i="7" s="1"/>
  <c r="D16" i="26"/>
  <c r="J15" i="5"/>
  <c r="J15" i="7" s="1"/>
  <c r="J30" i="5"/>
  <c r="J30" i="7" s="1"/>
  <c r="G25" i="7"/>
  <c r="K25" i="5"/>
  <c r="J24" i="5"/>
  <c r="J24" i="7" s="1"/>
  <c r="J9" i="5"/>
  <c r="G28" i="7"/>
  <c r="I28" i="5"/>
  <c r="K28" i="5"/>
  <c r="J21" i="5"/>
  <c r="D39" i="26"/>
  <c r="J37" i="5"/>
  <c r="J27" i="5"/>
  <c r="J27" i="7" s="1"/>
  <c r="J29" i="5"/>
  <c r="J29" i="7" s="1"/>
  <c r="J31" i="5"/>
  <c r="J31" i="7" s="1"/>
  <c r="J23" i="5"/>
  <c r="J23" i="7" s="1"/>
  <c r="J32" i="5"/>
  <c r="J32" i="7" s="1"/>
  <c r="G12" i="26"/>
  <c r="D12" i="26"/>
  <c r="D18" i="26" s="1"/>
  <c r="D33" i="26"/>
  <c r="G9" i="7" l="1"/>
  <c r="G12" i="5"/>
  <c r="K9" i="5"/>
  <c r="K12" i="5"/>
  <c r="I11" i="7"/>
  <c r="K11" i="7"/>
  <c r="J39" i="5"/>
  <c r="J37" i="7"/>
  <c r="J39" i="7" s="1"/>
  <c r="I28" i="7"/>
  <c r="K28" i="7"/>
  <c r="J16" i="7"/>
  <c r="K10" i="7"/>
  <c r="J33" i="5"/>
  <c r="J21" i="7"/>
  <c r="J33" i="7" s="1"/>
  <c r="J9" i="7"/>
  <c r="J12" i="7" s="1"/>
  <c r="J12" i="5"/>
  <c r="K25" i="7"/>
  <c r="J16" i="5"/>
  <c r="D35" i="26"/>
  <c r="D42" i="26" s="1"/>
  <c r="D45" i="26" s="1"/>
  <c r="J18" i="5" l="1"/>
  <c r="J35" i="5" s="1"/>
  <c r="J42" i="5" s="1"/>
  <c r="J45" i="5" s="1"/>
  <c r="J18" i="7"/>
  <c r="J35" i="7" s="1"/>
  <c r="J42" i="7" s="1"/>
  <c r="J45" i="7" s="1"/>
  <c r="G12" i="7"/>
  <c r="K9" i="7"/>
  <c r="K12" i="7" s="1"/>
  <c r="I44" i="26"/>
  <c r="E44" i="26"/>
  <c r="C44" i="26"/>
  <c r="B39" i="26"/>
  <c r="K38" i="26"/>
  <c r="E38" i="26"/>
  <c r="C38" i="26"/>
  <c r="C37" i="26"/>
  <c r="A39" i="26"/>
  <c r="E32" i="26"/>
  <c r="C32" i="26"/>
  <c r="E31" i="26"/>
  <c r="C30" i="26"/>
  <c r="C29" i="26"/>
  <c r="I28" i="26"/>
  <c r="E28" i="26"/>
  <c r="C28" i="26"/>
  <c r="C27" i="26"/>
  <c r="E27" i="26"/>
  <c r="E26" i="26"/>
  <c r="E25" i="26"/>
  <c r="C25" i="26"/>
  <c r="C24" i="26"/>
  <c r="E24" i="26"/>
  <c r="C22" i="26"/>
  <c r="E22" i="26"/>
  <c r="B16" i="26"/>
  <c r="A16" i="26"/>
  <c r="E15" i="26"/>
  <c r="A12" i="26"/>
  <c r="I11" i="26"/>
  <c r="E11" i="26"/>
  <c r="C11" i="26"/>
  <c r="C10" i="26"/>
  <c r="C9" i="26"/>
  <c r="C12" i="26" l="1"/>
  <c r="A18" i="26"/>
  <c r="K25" i="26"/>
  <c r="C39" i="26"/>
  <c r="I38" i="26"/>
  <c r="B33" i="26"/>
  <c r="C23" i="26"/>
  <c r="K11" i="26"/>
  <c r="E14" i="26"/>
  <c r="E16" i="26" s="1"/>
  <c r="E10" i="26"/>
  <c r="B12" i="26"/>
  <c r="B18" i="26" s="1"/>
  <c r="E21" i="26"/>
  <c r="C31" i="26"/>
  <c r="C15" i="26"/>
  <c r="E9" i="26"/>
  <c r="C14" i="26"/>
  <c r="C21" i="26"/>
  <c r="A33" i="26"/>
  <c r="E23" i="26"/>
  <c r="C26" i="26"/>
  <c r="E29" i="26"/>
  <c r="K44" i="26"/>
  <c r="E30" i="26"/>
  <c r="E37" i="26"/>
  <c r="E39" i="26" s="1"/>
  <c r="A29" i="2"/>
  <c r="G29" i="4" s="1"/>
  <c r="G29" i="28" l="1"/>
  <c r="G29" i="6"/>
  <c r="K29" i="4"/>
  <c r="I29" i="4"/>
  <c r="C16" i="26"/>
  <c r="C18" i="26" s="1"/>
  <c r="A35" i="26"/>
  <c r="A42" i="26" s="1"/>
  <c r="A45" i="26" s="1"/>
  <c r="E45" i="26" s="1"/>
  <c r="E12" i="26"/>
  <c r="E18" i="26" s="1"/>
  <c r="C33" i="26"/>
  <c r="C35" i="26" s="1"/>
  <c r="C42" i="26" s="1"/>
  <c r="E33" i="26"/>
  <c r="B35" i="26"/>
  <c r="B42" i="26" s="1"/>
  <c r="B45" i="26" s="1"/>
  <c r="B26" i="25"/>
  <c r="H26" i="26" s="1"/>
  <c r="H26" i="5" s="1"/>
  <c r="H26" i="7" s="1"/>
  <c r="A26" i="25"/>
  <c r="G26" i="26" s="1"/>
  <c r="G26" i="5" s="1"/>
  <c r="A32" i="25"/>
  <c r="G32" i="26" s="1"/>
  <c r="B25" i="25"/>
  <c r="H25" i="26" s="1"/>
  <c r="B14" i="25"/>
  <c r="H14" i="26" s="1"/>
  <c r="B30" i="25"/>
  <c r="H30" i="26" s="1"/>
  <c r="H30" i="5" s="1"/>
  <c r="H30" i="7" s="1"/>
  <c r="B29" i="25"/>
  <c r="H29" i="26" s="1"/>
  <c r="H29" i="5" s="1"/>
  <c r="H29" i="7" s="1"/>
  <c r="B22" i="25"/>
  <c r="H22" i="26" s="1"/>
  <c r="H22" i="5" s="1"/>
  <c r="H22" i="7" s="1"/>
  <c r="B21" i="25"/>
  <c r="H21" i="26" s="1"/>
  <c r="B27" i="25"/>
  <c r="H27" i="26" s="1"/>
  <c r="H27" i="5" s="1"/>
  <c r="H27" i="7" s="1"/>
  <c r="B24" i="25"/>
  <c r="H24" i="26" s="1"/>
  <c r="H24" i="5" s="1"/>
  <c r="H24" i="7" s="1"/>
  <c r="B37" i="25"/>
  <c r="H37" i="26" s="1"/>
  <c r="B23" i="25"/>
  <c r="H23" i="26" s="1"/>
  <c r="H23" i="5" s="1"/>
  <c r="H23" i="7" s="1"/>
  <c r="B10" i="25"/>
  <c r="H10" i="26" s="1"/>
  <c r="B9" i="25"/>
  <c r="H9" i="26" s="1"/>
  <c r="H9" i="5" l="1"/>
  <c r="H12" i="26"/>
  <c r="I9" i="26"/>
  <c r="H10" i="5"/>
  <c r="I10" i="26"/>
  <c r="I12" i="26" s="1"/>
  <c r="H37" i="5"/>
  <c r="H39" i="26"/>
  <c r="G32" i="5"/>
  <c r="I32" i="26"/>
  <c r="G26" i="7"/>
  <c r="I26" i="5"/>
  <c r="K26" i="5"/>
  <c r="H25" i="5"/>
  <c r="I25" i="26"/>
  <c r="H21" i="5"/>
  <c r="H33" i="26"/>
  <c r="I26" i="26"/>
  <c r="K29" i="6"/>
  <c r="I29" i="6"/>
  <c r="H14" i="5"/>
  <c r="H16" i="26"/>
  <c r="K29" i="28"/>
  <c r="I29" i="28"/>
  <c r="C45" i="26"/>
  <c r="E35" i="26"/>
  <c r="E42" i="26" s="1"/>
  <c r="A24" i="25"/>
  <c r="G24" i="26" s="1"/>
  <c r="A31" i="25"/>
  <c r="G31" i="26" s="1"/>
  <c r="A30" i="25"/>
  <c r="G30" i="26" s="1"/>
  <c r="A22" i="25"/>
  <c r="G22" i="26" s="1"/>
  <c r="A21" i="25"/>
  <c r="G21" i="26" s="1"/>
  <c r="A29" i="25"/>
  <c r="G29" i="26" s="1"/>
  <c r="A27" i="25"/>
  <c r="G27" i="26" s="1"/>
  <c r="A23" i="25"/>
  <c r="G23" i="26" s="1"/>
  <c r="A14" i="25"/>
  <c r="G14" i="26" s="1"/>
  <c r="A37" i="25"/>
  <c r="G37" i="26" s="1"/>
  <c r="A15" i="25"/>
  <c r="G15" i="26" s="1"/>
  <c r="H25" i="7" l="1"/>
  <c r="I25" i="7" s="1"/>
  <c r="I25" i="5"/>
  <c r="H37" i="7"/>
  <c r="H39" i="7" s="1"/>
  <c r="H39" i="5"/>
  <c r="H14" i="7"/>
  <c r="H16" i="7" s="1"/>
  <c r="H16" i="5"/>
  <c r="G24" i="5"/>
  <c r="I24" i="26"/>
  <c r="G32" i="7"/>
  <c r="K32" i="5"/>
  <c r="I32" i="5"/>
  <c r="H10" i="7"/>
  <c r="I10" i="7" s="1"/>
  <c r="I10" i="5"/>
  <c r="G14" i="5"/>
  <c r="I14" i="26"/>
  <c r="H21" i="7"/>
  <c r="H33" i="7" s="1"/>
  <c r="H33" i="5"/>
  <c r="G22" i="5"/>
  <c r="I22" i="26"/>
  <c r="I26" i="7"/>
  <c r="K26" i="7"/>
  <c r="G23" i="5"/>
  <c r="I23" i="26"/>
  <c r="G27" i="5"/>
  <c r="I27" i="26"/>
  <c r="G29" i="5"/>
  <c r="I29" i="26"/>
  <c r="G21" i="5"/>
  <c r="G33" i="26"/>
  <c r="I21" i="26"/>
  <c r="G15" i="5"/>
  <c r="G16" i="26"/>
  <c r="G18" i="26" s="1"/>
  <c r="G35" i="26" s="1"/>
  <c r="G42" i="26" s="1"/>
  <c r="G45" i="26" s="1"/>
  <c r="I15" i="26"/>
  <c r="G30" i="5"/>
  <c r="I30" i="26"/>
  <c r="H18" i="26"/>
  <c r="H35" i="26" s="1"/>
  <c r="H42" i="26" s="1"/>
  <c r="H45" i="26" s="1"/>
  <c r="G37" i="5"/>
  <c r="G39" i="26"/>
  <c r="I37" i="26"/>
  <c r="I39" i="26" s="1"/>
  <c r="G31" i="5"/>
  <c r="I31" i="26"/>
  <c r="H9" i="7"/>
  <c r="H12" i="5"/>
  <c r="I9" i="5"/>
  <c r="J27" i="2"/>
  <c r="J25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D29" i="2"/>
  <c r="J29" i="2" s="1"/>
  <c r="D24" i="2"/>
  <c r="D26" i="2" s="1"/>
  <c r="J26" i="2" s="1"/>
  <c r="D23" i="2"/>
  <c r="D37" i="25"/>
  <c r="D32" i="25"/>
  <c r="J32" i="26" s="1"/>
  <c r="K32" i="26" s="1"/>
  <c r="D31" i="25"/>
  <c r="J31" i="26" s="1"/>
  <c r="K31" i="26" s="1"/>
  <c r="D30" i="25"/>
  <c r="J30" i="26" s="1"/>
  <c r="K30" i="26" s="1"/>
  <c r="D29" i="25"/>
  <c r="J29" i="26" s="1"/>
  <c r="K29" i="26" s="1"/>
  <c r="D28" i="25"/>
  <c r="J28" i="26" s="1"/>
  <c r="K28" i="26" s="1"/>
  <c r="D27" i="25"/>
  <c r="J27" i="26" s="1"/>
  <c r="K27" i="26" s="1"/>
  <c r="D26" i="25"/>
  <c r="J26" i="26" s="1"/>
  <c r="K26" i="26" s="1"/>
  <c r="D24" i="25"/>
  <c r="D23" i="25"/>
  <c r="J23" i="26" s="1"/>
  <c r="K23" i="26" s="1"/>
  <c r="D22" i="25"/>
  <c r="J22" i="26" s="1"/>
  <c r="K22" i="26" s="1"/>
  <c r="D21" i="25"/>
  <c r="J21" i="26" s="1"/>
  <c r="K21" i="26" s="1"/>
  <c r="D15" i="25"/>
  <c r="D14" i="25"/>
  <c r="J14" i="26" s="1"/>
  <c r="K14" i="26" s="1"/>
  <c r="D12" i="25"/>
  <c r="D10" i="25"/>
  <c r="J10" i="26" s="1"/>
  <c r="D9" i="25"/>
  <c r="J9" i="26" s="1"/>
  <c r="K9" i="26" s="1"/>
  <c r="J24" i="2" l="1"/>
  <c r="G29" i="7"/>
  <c r="K29" i="5"/>
  <c r="I29" i="5"/>
  <c r="I9" i="7"/>
  <c r="I12" i="7" s="1"/>
  <c r="H12" i="7"/>
  <c r="H18" i="7" s="1"/>
  <c r="H35" i="7" s="1"/>
  <c r="H42" i="7" s="1"/>
  <c r="H45" i="7" s="1"/>
  <c r="G37" i="7"/>
  <c r="G39" i="5"/>
  <c r="I37" i="5"/>
  <c r="I39" i="5" s="1"/>
  <c r="K37" i="5"/>
  <c r="K39" i="5" s="1"/>
  <c r="G15" i="7"/>
  <c r="G16" i="5"/>
  <c r="G18" i="5" s="1"/>
  <c r="I15" i="5"/>
  <c r="K15" i="5"/>
  <c r="K16" i="5" s="1"/>
  <c r="K18" i="5" s="1"/>
  <c r="I12" i="5"/>
  <c r="H18" i="5"/>
  <c r="H35" i="5" s="1"/>
  <c r="H42" i="5" s="1"/>
  <c r="H45" i="5" s="1"/>
  <c r="G24" i="7"/>
  <c r="K24" i="5"/>
  <c r="I24" i="5"/>
  <c r="G27" i="7"/>
  <c r="I27" i="5"/>
  <c r="K27" i="5"/>
  <c r="G22" i="7"/>
  <c r="K22" i="5"/>
  <c r="I22" i="5"/>
  <c r="I33" i="26"/>
  <c r="D33" i="25"/>
  <c r="J24" i="26"/>
  <c r="K24" i="26" s="1"/>
  <c r="K33" i="26" s="1"/>
  <c r="D39" i="25"/>
  <c r="J37" i="26"/>
  <c r="G31" i="7"/>
  <c r="I31" i="5"/>
  <c r="K31" i="5"/>
  <c r="G30" i="7"/>
  <c r="I30" i="5"/>
  <c r="K30" i="5"/>
  <c r="G21" i="7"/>
  <c r="G33" i="5"/>
  <c r="I21" i="5"/>
  <c r="K21" i="5"/>
  <c r="I32" i="7"/>
  <c r="K32" i="7"/>
  <c r="G14" i="7"/>
  <c r="I14" i="5"/>
  <c r="K14" i="5"/>
  <c r="D16" i="25"/>
  <c r="D18" i="25" s="1"/>
  <c r="J15" i="26"/>
  <c r="J12" i="26"/>
  <c r="K10" i="26"/>
  <c r="K12" i="26" s="1"/>
  <c r="I16" i="26"/>
  <c r="I18" i="26" s="1"/>
  <c r="I35" i="26" s="1"/>
  <c r="I42" i="26" s="1"/>
  <c r="I45" i="26" s="1"/>
  <c r="G23" i="7"/>
  <c r="K23" i="5"/>
  <c r="I23" i="5"/>
  <c r="H9" i="25"/>
  <c r="G33" i="7" l="1"/>
  <c r="I23" i="7"/>
  <c r="K23" i="7"/>
  <c r="K27" i="7"/>
  <c r="I27" i="7"/>
  <c r="I16" i="5"/>
  <c r="I18" i="5" s="1"/>
  <c r="I35" i="5" s="1"/>
  <c r="I42" i="5" s="1"/>
  <c r="I45" i="5" s="1"/>
  <c r="J33" i="26"/>
  <c r="K15" i="7"/>
  <c r="I15" i="7"/>
  <c r="G16" i="7"/>
  <c r="G18" i="7" s="1"/>
  <c r="G35" i="7" s="1"/>
  <c r="G42" i="7" s="1"/>
  <c r="G45" i="7" s="1"/>
  <c r="I14" i="7"/>
  <c r="I16" i="7" s="1"/>
  <c r="I18" i="7" s="1"/>
  <c r="K14" i="7"/>
  <c r="K33" i="5"/>
  <c r="K35" i="5" s="1"/>
  <c r="K42" i="5" s="1"/>
  <c r="K45" i="5" s="1"/>
  <c r="I24" i="7"/>
  <c r="K24" i="7"/>
  <c r="K29" i="7"/>
  <c r="I29" i="7"/>
  <c r="K30" i="7"/>
  <c r="I30" i="7"/>
  <c r="I33" i="5"/>
  <c r="K31" i="7"/>
  <c r="I31" i="7"/>
  <c r="D35" i="25"/>
  <c r="D42" i="25" s="1"/>
  <c r="D45" i="25" s="1"/>
  <c r="G35" i="5"/>
  <c r="G42" i="5" s="1"/>
  <c r="G45" i="5" s="1"/>
  <c r="J39" i="26"/>
  <c r="K37" i="26"/>
  <c r="K39" i="26" s="1"/>
  <c r="K22" i="7"/>
  <c r="I22" i="7"/>
  <c r="J16" i="26"/>
  <c r="J18" i="26" s="1"/>
  <c r="J35" i="26" s="1"/>
  <c r="J42" i="26" s="1"/>
  <c r="J45" i="26" s="1"/>
  <c r="K15" i="26"/>
  <c r="K16" i="26" s="1"/>
  <c r="K18" i="26" s="1"/>
  <c r="K35" i="26" s="1"/>
  <c r="K42" i="26" s="1"/>
  <c r="K45" i="26" s="1"/>
  <c r="I21" i="7"/>
  <c r="I33" i="7" s="1"/>
  <c r="K21" i="7"/>
  <c r="G39" i="7"/>
  <c r="K37" i="7"/>
  <c r="K39" i="7" s="1"/>
  <c r="I37" i="7"/>
  <c r="I39" i="7" s="1"/>
  <c r="J9" i="25"/>
  <c r="K16" i="7" l="1"/>
  <c r="K18" i="7" s="1"/>
  <c r="I35" i="7"/>
  <c r="I42" i="7" s="1"/>
  <c r="I45" i="7" s="1"/>
  <c r="K33" i="7"/>
  <c r="E9" i="25"/>
  <c r="K35" i="7" l="1"/>
  <c r="K42" i="7" s="1"/>
  <c r="K45" i="7" s="1"/>
  <c r="J28" i="25"/>
  <c r="K28" i="25" s="1"/>
  <c r="H28" i="25"/>
  <c r="I28" i="25" s="1"/>
  <c r="E28" i="25"/>
  <c r="C28" i="25"/>
  <c r="C44" i="25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7" i="2"/>
  <c r="G29" i="2"/>
  <c r="J44" i="25"/>
  <c r="J38" i="25"/>
  <c r="J37" i="25"/>
  <c r="J39" i="25" s="1"/>
  <c r="J32" i="25"/>
  <c r="J31" i="25"/>
  <c r="J30" i="25"/>
  <c r="J29" i="25"/>
  <c r="J27" i="25"/>
  <c r="J26" i="25"/>
  <c r="J25" i="25"/>
  <c r="J24" i="25"/>
  <c r="J23" i="25"/>
  <c r="J22" i="25"/>
  <c r="J21" i="25"/>
  <c r="J15" i="25"/>
  <c r="J16" i="25" s="1"/>
  <c r="J14" i="25"/>
  <c r="J11" i="25"/>
  <c r="J10" i="25"/>
  <c r="K9" i="2" l="1"/>
  <c r="J12" i="25"/>
  <c r="J18" i="25" s="1"/>
  <c r="J33" i="25"/>
  <c r="J35" i="25" l="1"/>
  <c r="J42" i="25" s="1"/>
  <c r="J45" i="25" s="1"/>
  <c r="G25" i="2" l="1"/>
  <c r="G44" i="25" l="1"/>
  <c r="G38" i="25"/>
  <c r="G37" i="25"/>
  <c r="G32" i="25"/>
  <c r="G22" i="25"/>
  <c r="G23" i="25"/>
  <c r="G24" i="25"/>
  <c r="G25" i="25"/>
  <c r="G26" i="25"/>
  <c r="G27" i="25"/>
  <c r="G29" i="25"/>
  <c r="G30" i="25"/>
  <c r="G31" i="25"/>
  <c r="G21" i="25"/>
  <c r="G15" i="25"/>
  <c r="G14" i="25"/>
  <c r="G11" i="25"/>
  <c r="G10" i="25"/>
  <c r="G9" i="25"/>
  <c r="K9" i="25" s="1"/>
  <c r="H44" i="25" l="1"/>
  <c r="H38" i="25"/>
  <c r="H37" i="25"/>
  <c r="H32" i="25"/>
  <c r="H22" i="25"/>
  <c r="H23" i="25"/>
  <c r="H24" i="25"/>
  <c r="H25" i="25"/>
  <c r="H26" i="25"/>
  <c r="H27" i="25"/>
  <c r="H29" i="25"/>
  <c r="H30" i="25"/>
  <c r="H31" i="25"/>
  <c r="H21" i="25"/>
  <c r="H15" i="25"/>
  <c r="H11" i="25"/>
  <c r="H14" i="25"/>
  <c r="H10" i="25"/>
  <c r="G39" i="25" l="1"/>
  <c r="G33" i="25"/>
  <c r="G16" i="25"/>
  <c r="G12" i="25"/>
  <c r="H39" i="25"/>
  <c r="H33" i="25"/>
  <c r="H16" i="25"/>
  <c r="H12" i="25"/>
  <c r="G18" i="25" l="1"/>
  <c r="G35" i="25" s="1"/>
  <c r="G42" i="25" s="1"/>
  <c r="G45" i="25" s="1"/>
  <c r="H18" i="25"/>
  <c r="H35" i="25" s="1"/>
  <c r="H42" i="25" s="1"/>
  <c r="H45" i="25" s="1"/>
  <c r="H29" i="2" l="1"/>
  <c r="H10" i="2"/>
  <c r="H12" i="2"/>
  <c r="H14" i="2"/>
  <c r="H16" i="2"/>
  <c r="H19" i="2"/>
  <c r="H20" i="2"/>
  <c r="H21" i="2"/>
  <c r="H22" i="2"/>
  <c r="H25" i="2"/>
  <c r="H9" i="2"/>
  <c r="I9" i="2" s="1"/>
  <c r="H13" i="2" l="1"/>
  <c r="H27" i="2"/>
  <c r="H15" i="2"/>
  <c r="H11" i="2"/>
  <c r="K44" i="25"/>
  <c r="E44" i="25"/>
  <c r="B39" i="25"/>
  <c r="A39" i="25"/>
  <c r="K38" i="25"/>
  <c r="E38" i="25"/>
  <c r="C38" i="25"/>
  <c r="I37" i="25"/>
  <c r="C37" i="25"/>
  <c r="B33" i="25"/>
  <c r="A33" i="25"/>
  <c r="K32" i="25"/>
  <c r="E32" i="25"/>
  <c r="C32" i="25"/>
  <c r="K31" i="25"/>
  <c r="E31" i="25"/>
  <c r="C31" i="25"/>
  <c r="K30" i="25"/>
  <c r="E30" i="25"/>
  <c r="C30" i="25"/>
  <c r="K29" i="25"/>
  <c r="E29" i="25"/>
  <c r="C29" i="25"/>
  <c r="K27" i="25"/>
  <c r="E27" i="25"/>
  <c r="C27" i="25"/>
  <c r="K26" i="25"/>
  <c r="E26" i="25"/>
  <c r="C26" i="25"/>
  <c r="K25" i="25"/>
  <c r="E25" i="25"/>
  <c r="C25" i="25"/>
  <c r="K24" i="25"/>
  <c r="E24" i="25"/>
  <c r="C24" i="25"/>
  <c r="K23" i="25"/>
  <c r="E23" i="25"/>
  <c r="C23" i="25"/>
  <c r="K22" i="25"/>
  <c r="E22" i="25"/>
  <c r="C22" i="25"/>
  <c r="K21" i="25"/>
  <c r="C21" i="25"/>
  <c r="B16" i="25"/>
  <c r="A16" i="25"/>
  <c r="K15" i="25"/>
  <c r="E15" i="25"/>
  <c r="C15" i="25"/>
  <c r="K14" i="25"/>
  <c r="E14" i="25"/>
  <c r="C14" i="25"/>
  <c r="B12" i="25"/>
  <c r="A12" i="25"/>
  <c r="K11" i="25"/>
  <c r="E11" i="25"/>
  <c r="C11" i="25"/>
  <c r="I10" i="25"/>
  <c r="E10" i="25"/>
  <c r="C10" i="25"/>
  <c r="C9" i="25"/>
  <c r="B18" i="25" l="1"/>
  <c r="C16" i="25"/>
  <c r="C39" i="25"/>
  <c r="A18" i="25"/>
  <c r="A35" i="25" s="1"/>
  <c r="A42" i="25" s="1"/>
  <c r="A45" i="25" s="1"/>
  <c r="C12" i="25"/>
  <c r="C33" i="25"/>
  <c r="K33" i="25"/>
  <c r="I9" i="25"/>
  <c r="I11" i="25"/>
  <c r="K10" i="25"/>
  <c r="I14" i="25"/>
  <c r="I21" i="25"/>
  <c r="I23" i="25"/>
  <c r="I25" i="25"/>
  <c r="I27" i="25"/>
  <c r="I30" i="25"/>
  <c r="I44" i="25"/>
  <c r="K16" i="25"/>
  <c r="E12" i="25"/>
  <c r="E16" i="25"/>
  <c r="I15" i="25"/>
  <c r="E21" i="25"/>
  <c r="E33" i="25" s="1"/>
  <c r="I22" i="25"/>
  <c r="I24" i="25"/>
  <c r="I26" i="25"/>
  <c r="I29" i="25"/>
  <c r="I31" i="25"/>
  <c r="K37" i="25"/>
  <c r="K39" i="25" s="1"/>
  <c r="I32" i="25"/>
  <c r="E37" i="25"/>
  <c r="E39" i="25" s="1"/>
  <c r="I38" i="25"/>
  <c r="I39" i="25" s="1"/>
  <c r="B35" i="25" l="1"/>
  <c r="I12" i="25"/>
  <c r="I16" i="25"/>
  <c r="C18" i="25"/>
  <c r="C35" i="25" s="1"/>
  <c r="C42" i="25" s="1"/>
  <c r="E18" i="25"/>
  <c r="E35" i="25" s="1"/>
  <c r="E42" i="25" s="1"/>
  <c r="K12" i="25"/>
  <c r="K18" i="25" s="1"/>
  <c r="K35" i="25" s="1"/>
  <c r="K42" i="25" s="1"/>
  <c r="K45" i="25" s="1"/>
  <c r="E45" i="25"/>
  <c r="I33" i="25"/>
  <c r="B42" i="25" l="1"/>
  <c r="I18" i="25"/>
  <c r="I35" i="25" s="1"/>
  <c r="I42" i="25" s="1"/>
  <c r="I45" i="25" s="1"/>
  <c r="B45" i="25" l="1"/>
  <c r="C45" i="25" l="1"/>
  <c r="K29" i="2" l="1"/>
  <c r="I29" i="2"/>
  <c r="E29" i="2"/>
  <c r="C29" i="2"/>
  <c r="B24" i="2" l="1"/>
  <c r="A24" i="2"/>
  <c r="G24" i="2" s="1"/>
  <c r="B23" i="2"/>
  <c r="A23" i="2"/>
  <c r="G23" i="2" s="1"/>
  <c r="H23" i="2" l="1"/>
  <c r="H24" i="2"/>
  <c r="A26" i="2"/>
  <c r="G26" i="2" s="1"/>
  <c r="B26" i="2"/>
  <c r="H26" i="2" l="1"/>
  <c r="K27" i="2" l="1"/>
  <c r="I27" i="2"/>
  <c r="E27" i="2"/>
  <c r="C27" i="2"/>
  <c r="K25" i="2"/>
  <c r="I25" i="2"/>
  <c r="E25" i="2"/>
  <c r="C25" i="2"/>
  <c r="K24" i="2"/>
  <c r="K23" i="2"/>
  <c r="K22" i="2"/>
  <c r="I22" i="2"/>
  <c r="E22" i="2"/>
  <c r="C22" i="2"/>
  <c r="K21" i="2"/>
  <c r="I21" i="2"/>
  <c r="E21" i="2"/>
  <c r="C21" i="2"/>
  <c r="K20" i="2"/>
  <c r="I20" i="2"/>
  <c r="E20" i="2"/>
  <c r="C20" i="2"/>
  <c r="K19" i="2"/>
  <c r="I19" i="2"/>
  <c r="E19" i="2"/>
  <c r="C19" i="2"/>
  <c r="K18" i="2"/>
  <c r="I18" i="2"/>
  <c r="E18" i="2"/>
  <c r="C18" i="2"/>
  <c r="K17" i="2"/>
  <c r="I17" i="2"/>
  <c r="E17" i="2"/>
  <c r="C17" i="2"/>
  <c r="K16" i="2"/>
  <c r="I16" i="2"/>
  <c r="E16" i="2"/>
  <c r="C16" i="2"/>
  <c r="K15" i="2"/>
  <c r="I15" i="2"/>
  <c r="E15" i="2"/>
  <c r="C15" i="2"/>
  <c r="K14" i="2"/>
  <c r="I14" i="2"/>
  <c r="E14" i="2"/>
  <c r="C14" i="2"/>
  <c r="K13" i="2"/>
  <c r="I13" i="2"/>
  <c r="E13" i="2"/>
  <c r="C13" i="2"/>
  <c r="K12" i="2"/>
  <c r="I12" i="2"/>
  <c r="E12" i="2"/>
  <c r="C12" i="2"/>
  <c r="K11" i="2"/>
  <c r="I11" i="2"/>
  <c r="E11" i="2"/>
  <c r="C11" i="2"/>
  <c r="K10" i="2"/>
  <c r="I10" i="2"/>
  <c r="E10" i="2"/>
  <c r="C10" i="2"/>
  <c r="E9" i="2"/>
  <c r="C9" i="2"/>
  <c r="E24" i="2" l="1"/>
  <c r="E23" i="2"/>
  <c r="C23" i="2"/>
  <c r="C24" i="2"/>
  <c r="C26" i="2" s="1"/>
  <c r="E26" i="2"/>
  <c r="I23" i="2"/>
  <c r="I24" i="2"/>
  <c r="K26" i="2" l="1"/>
  <c r="I26" i="2"/>
</calcChain>
</file>

<file path=xl/sharedStrings.xml><?xml version="1.0" encoding="utf-8"?>
<sst xmlns="http://schemas.openxmlformats.org/spreadsheetml/2006/main" count="396" uniqueCount="63">
  <si>
    <t>Payroll</t>
  </si>
  <si>
    <t>Benefits</t>
  </si>
  <si>
    <t>Utilities</t>
  </si>
  <si>
    <t>Insurance</t>
  </si>
  <si>
    <t>Interest</t>
  </si>
  <si>
    <t>Net Income</t>
  </si>
  <si>
    <t>Month</t>
  </si>
  <si>
    <t>Actual</t>
  </si>
  <si>
    <t>Budget</t>
  </si>
  <si>
    <t>Variance</t>
  </si>
  <si>
    <t>CY</t>
  </si>
  <si>
    <t>PY</t>
  </si>
  <si>
    <t>YTD</t>
  </si>
  <si>
    <t xml:space="preserve">  Total Operations Revenue</t>
  </si>
  <si>
    <t>REVENUE</t>
  </si>
  <si>
    <t>Total Miscellaneous Revenue</t>
  </si>
  <si>
    <t>Total Revenue</t>
  </si>
  <si>
    <t>Merchandise</t>
  </si>
  <si>
    <t>Operating Income</t>
  </si>
  <si>
    <t>Membership Fees</t>
  </si>
  <si>
    <t>Total Non Operating Income</t>
  </si>
  <si>
    <t>Total Expense</t>
  </si>
  <si>
    <t>Depreciation</t>
  </si>
  <si>
    <t>EXPENSES</t>
  </si>
  <si>
    <t>Charters</t>
  </si>
  <si>
    <t>Charter Guests</t>
  </si>
  <si>
    <t>Transits</t>
  </si>
  <si>
    <t>Transit Guests</t>
  </si>
  <si>
    <t>Adventure Sails</t>
  </si>
  <si>
    <t>Adventure Sail Guests</t>
  </si>
  <si>
    <t>Battle Sails</t>
  </si>
  <si>
    <t>Battle Sail Guests</t>
  </si>
  <si>
    <t>Evening Sails</t>
  </si>
  <si>
    <t>Evening Sail Guests</t>
  </si>
  <si>
    <t>Dockside Ed</t>
  </si>
  <si>
    <t>Dockside Ed Guests</t>
  </si>
  <si>
    <t>Education Sails</t>
  </si>
  <si>
    <t>Education Sail Guests</t>
  </si>
  <si>
    <t>Ports  Visited</t>
  </si>
  <si>
    <t>Dock Vistors</t>
  </si>
  <si>
    <t>TOTAL SAILS</t>
  </si>
  <si>
    <t>TOTAL SAIL GUEST</t>
  </si>
  <si>
    <t>Total Guests</t>
  </si>
  <si>
    <t>Statistics</t>
  </si>
  <si>
    <t>STATISTICS</t>
  </si>
  <si>
    <t>Hours Paid</t>
  </si>
  <si>
    <t>Income Statement</t>
  </si>
  <si>
    <t>Grays Harbor Historical Seaport Authority</t>
  </si>
  <si>
    <t>Current Year</t>
  </si>
  <si>
    <t>Prior Year</t>
  </si>
  <si>
    <t>Net Income before Depreciation</t>
  </si>
  <si>
    <t>Spar</t>
  </si>
  <si>
    <t>Public Sails</t>
  </si>
  <si>
    <t>Education/Volunteers</t>
  </si>
  <si>
    <t>Ships</t>
  </si>
  <si>
    <t>Merchandise/Excise Tax</t>
  </si>
  <si>
    <t>Hagara</t>
  </si>
  <si>
    <t>Admin/MFD</t>
  </si>
  <si>
    <t>Seaport Landing</t>
  </si>
  <si>
    <t>Spar Shop</t>
  </si>
  <si>
    <t>Grant Expenses</t>
  </si>
  <si>
    <t>Donations/Grants/Sponsors</t>
  </si>
  <si>
    <t>Misc./Lease/Special Events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</si>
</sst>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43" fontId="0" fillId="0" borderId="0" xfId="1" applyFont="1"/>
    <xf numFmtId="43" fontId="0" fillId="0" borderId="0" xfId="0" applyNumberFormat="1"/>
    <xf numFmtId="43" fontId="0" fillId="0" borderId="1" xfId="1" applyFont="1" applyBorder="1"/>
    <xf numFmtId="43" fontId="0" fillId="0" borderId="1" xfId="0" applyNumberFormat="1" applyBorder="1"/>
    <xf numFmtId="164" fontId="0" fillId="0" borderId="0" xfId="1" applyNumberFormat="1" applyFont="1"/>
    <xf numFmtId="164" fontId="0" fillId="0" borderId="0" xfId="0" applyNumberFormat="1"/>
    <xf numFmtId="14" fontId="0" fillId="0" borderId="0" xfId="0" applyNumberFormat="1"/>
    <xf numFmtId="43" fontId="0" fillId="0" borderId="2" xfId="1" applyFont="1" applyBorder="1"/>
    <xf numFmtId="43" fontId="0" fillId="0" borderId="0" xfId="1" applyFont="1" applyBorder="1"/>
    <xf numFmtId="4" fontId="0" fillId="0" borderId="0" xfId="0" applyNumberFormat="1"/>
    <xf numFmtId="4" fontId="0" fillId="0" borderId="1" xfId="0" applyNumberFormat="1" applyBorder="1"/>
    <xf numFmtId="38" fontId="0" fillId="0" borderId="0" xfId="0" applyNumberFormat="1"/>
    <xf numFmtId="43" fontId="0" fillId="0" borderId="0" xfId="0" applyNumberFormat="1" applyBorder="1"/>
    <xf numFmtId="0" fontId="2" fillId="0" borderId="0" xfId="0" applyFont="1"/>
    <xf numFmtId="4" fontId="0" fillId="0" borderId="0" xfId="0" applyNumberFormat="1" applyBorder="1"/>
    <xf numFmtId="43" fontId="0" fillId="0" borderId="3" xfId="1" applyFont="1" applyBorder="1"/>
    <xf numFmtId="43" fontId="0" fillId="0" borderId="3" xfId="0" applyNumberFormat="1" applyBorder="1"/>
    <xf numFmtId="3" fontId="0" fillId="0" borderId="0" xfId="0" applyNumberFormat="1"/>
    <xf numFmtId="44" fontId="0" fillId="0" borderId="1" xfId="0" applyNumberFormat="1" applyBorder="1"/>
    <xf numFmtId="44" fontId="0" fillId="0" borderId="3" xfId="0" applyNumberFormat="1" applyBorder="1"/>
    <xf numFmtId="0" fontId="3" fillId="0" borderId="0" xfId="0" applyFont="1"/>
    <xf numFmtId="43" fontId="4" fillId="0" borderId="0" xfId="1" applyFont="1"/>
    <xf numFmtId="43" fontId="4" fillId="0" borderId="1" xfId="1" applyFont="1" applyBorder="1"/>
    <xf numFmtId="0" fontId="4" fillId="0" borderId="0" xfId="0" applyFont="1"/>
    <xf numFmtId="43" fontId="4" fillId="0" borderId="0" xfId="1" applyFont="1" applyBorder="1"/>
    <xf numFmtId="43" fontId="4" fillId="0" borderId="3" xfId="1" applyFont="1" applyBorder="1"/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14" fontId="0" fillId="2" borderId="0" xfId="0" applyNumberFormat="1" applyFill="1"/>
    <xf numFmtId="0" fontId="0" fillId="0" borderId="2" xfId="0" applyBorder="1"/>
    <xf numFmtId="14" fontId="10" fillId="2" borderId="0" xfId="0" applyNumberFormat="1" applyFont="1" applyFill="1"/>
    <xf numFmtId="0" fontId="10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Fill="1"/>
    <xf numFmtId="0" fontId="3" fillId="0" borderId="0" xfId="0" applyFont="1" applyFill="1"/>
    <xf numFmtId="0" fontId="0" fillId="0" borderId="0" xfId="1" applyNumberFormat="1" applyFont="1"/>
    <xf numFmtId="0" fontId="0" fillId="0" borderId="0" xfId="0" applyNumberFormat="1"/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Font="1"/>
    <xf numFmtId="43" fontId="1" fillId="0" borderId="0" xfId="1" applyFont="1"/>
    <xf numFmtId="43" fontId="1" fillId="0" borderId="1" xfId="1" applyFont="1" applyBorder="1"/>
    <xf numFmtId="43" fontId="1" fillId="0" borderId="2" xfId="1" applyFont="1" applyBorder="1"/>
    <xf numFmtId="4" fontId="0" fillId="0" borderId="0" xfId="0" applyNumberFormat="1" applyFont="1"/>
    <xf numFmtId="43" fontId="1" fillId="0" borderId="3" xfId="1" applyFont="1" applyBorder="1"/>
    <xf numFmtId="43" fontId="0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3" fontId="1" fillId="0" borderId="4" xfId="1" applyFont="1" applyBorder="1"/>
    <xf numFmtId="43" fontId="0" fillId="0" borderId="4" xfId="0" applyNumberFormat="1" applyBorder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ard%20Meeting/2019/March/2019%20Comparative%20Income%20Statemen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oard%20Meeting/2019/April/2019%20Comparative%20Income%20Statemen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oard%20Meeting/2019/May/2019%20Comparative%20Income%20State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 Income"/>
      <sheetName val="Jan Statistics"/>
      <sheetName val="Feb Income"/>
      <sheetName val="Feb Statistics"/>
      <sheetName val="Mar Income"/>
      <sheetName val="Mar Statistic"/>
      <sheetName val="Apr Income"/>
      <sheetName val="Apr Statistic"/>
      <sheetName val="May Income"/>
      <sheetName val="May Statistic"/>
      <sheetName val="June Income"/>
      <sheetName val="June Statistic"/>
      <sheetName val="July Income"/>
      <sheetName val="July Statistic"/>
      <sheetName val="Aug Income"/>
      <sheetName val="Aug Statistic"/>
      <sheetName val="Sept Income"/>
      <sheetName val="Sept Statistic"/>
      <sheetName val="Oct Income"/>
      <sheetName val="Oct Statistic"/>
      <sheetName val="Nov Income"/>
      <sheetName val="Nov Statistic"/>
      <sheetName val="Dec Income"/>
      <sheetName val="Dec Statistic"/>
    </sheetNames>
    <sheetDataSet>
      <sheetData sheetId="0"/>
      <sheetData sheetId="1">
        <row r="9">
          <cell r="D9">
            <v>0</v>
          </cell>
        </row>
        <row r="10">
          <cell r="D10">
            <v>0</v>
          </cell>
        </row>
        <row r="11">
          <cell r="D11">
            <v>0</v>
          </cell>
        </row>
        <row r="12">
          <cell r="D12">
            <v>0</v>
          </cell>
        </row>
        <row r="13">
          <cell r="D13">
            <v>0</v>
          </cell>
        </row>
        <row r="14">
          <cell r="D14">
            <v>0</v>
          </cell>
        </row>
        <row r="15">
          <cell r="D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1</v>
          </cell>
        </row>
        <row r="22">
          <cell r="D22">
            <v>30</v>
          </cell>
        </row>
        <row r="23">
          <cell r="D23">
            <v>1</v>
          </cell>
        </row>
        <row r="24">
          <cell r="D24">
            <v>30</v>
          </cell>
        </row>
        <row r="25">
          <cell r="D25">
            <v>45</v>
          </cell>
        </row>
        <row r="26">
          <cell r="D26">
            <v>75</v>
          </cell>
        </row>
        <row r="27">
          <cell r="D27">
            <v>2</v>
          </cell>
        </row>
        <row r="29">
          <cell r="D29">
            <v>4727</v>
          </cell>
        </row>
      </sheetData>
      <sheetData sheetId="2"/>
      <sheetData sheetId="3">
        <row r="9">
          <cell r="D9">
            <v>0</v>
          </cell>
        </row>
        <row r="10">
          <cell r="D10">
            <v>0</v>
          </cell>
        </row>
        <row r="11">
          <cell r="D11">
            <v>0</v>
          </cell>
        </row>
        <row r="12">
          <cell r="D12">
            <v>0</v>
          </cell>
        </row>
        <row r="13">
          <cell r="D13">
            <v>2</v>
          </cell>
        </row>
        <row r="14">
          <cell r="D14">
            <v>75</v>
          </cell>
        </row>
        <row r="15">
          <cell r="D15">
            <v>5</v>
          </cell>
        </row>
        <row r="16">
          <cell r="D16">
            <v>118</v>
          </cell>
        </row>
        <row r="17">
          <cell r="D17">
            <v>3</v>
          </cell>
        </row>
        <row r="18">
          <cell r="D18">
            <v>40</v>
          </cell>
        </row>
        <row r="19">
          <cell r="D19">
            <v>8</v>
          </cell>
        </row>
        <row r="20">
          <cell r="D20">
            <v>278</v>
          </cell>
        </row>
        <row r="21">
          <cell r="D21">
            <v>12</v>
          </cell>
        </row>
        <row r="22">
          <cell r="D22">
            <v>378</v>
          </cell>
        </row>
        <row r="23">
          <cell r="D23">
            <v>30</v>
          </cell>
        </row>
        <row r="24">
          <cell r="D24">
            <v>889</v>
          </cell>
        </row>
        <row r="25">
          <cell r="D25">
            <v>3494</v>
          </cell>
        </row>
        <row r="26">
          <cell r="D26">
            <v>4383</v>
          </cell>
        </row>
        <row r="27">
          <cell r="D27">
            <v>3</v>
          </cell>
        </row>
        <row r="29">
          <cell r="D29">
            <v>4184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 Income"/>
      <sheetName val="Jan Statistics"/>
      <sheetName val="Feb Income"/>
      <sheetName val="Feb Statistics"/>
      <sheetName val="Mar Income"/>
      <sheetName val="Mar Statistic"/>
      <sheetName val="Apr Income"/>
      <sheetName val="Apr Statistic"/>
      <sheetName val="May Income"/>
      <sheetName val="May Statistic"/>
      <sheetName val="June Income"/>
      <sheetName val="June Statistic"/>
      <sheetName val="July Income"/>
      <sheetName val="July Statistic"/>
      <sheetName val="Aug Income"/>
      <sheetName val="Aug Statistic"/>
      <sheetName val="Sept Income"/>
      <sheetName val="Sept Statistic"/>
      <sheetName val="Oct Income"/>
      <sheetName val="Oct Statistic"/>
      <sheetName val="Nov Income"/>
      <sheetName val="Nov Statistic"/>
      <sheetName val="Dec Income"/>
      <sheetName val="Dec Statistic"/>
    </sheetNames>
    <sheetDataSet>
      <sheetData sheetId="0"/>
      <sheetData sheetId="1"/>
      <sheetData sheetId="2"/>
      <sheetData sheetId="3"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2</v>
          </cell>
        </row>
        <row r="14">
          <cell r="J14">
            <v>75</v>
          </cell>
        </row>
        <row r="15">
          <cell r="J15">
            <v>5</v>
          </cell>
        </row>
        <row r="16">
          <cell r="J16">
            <v>118</v>
          </cell>
        </row>
        <row r="17">
          <cell r="J17">
            <v>3</v>
          </cell>
        </row>
        <row r="18">
          <cell r="J18">
            <v>40</v>
          </cell>
        </row>
        <row r="19">
          <cell r="J19">
            <v>8</v>
          </cell>
        </row>
        <row r="20">
          <cell r="J20">
            <v>278</v>
          </cell>
        </row>
        <row r="21">
          <cell r="J21">
            <v>13</v>
          </cell>
        </row>
        <row r="22">
          <cell r="J22">
            <v>408</v>
          </cell>
        </row>
        <row r="23">
          <cell r="J23">
            <v>31</v>
          </cell>
        </row>
        <row r="24">
          <cell r="J24">
            <v>919</v>
          </cell>
        </row>
        <row r="25">
          <cell r="J25">
            <v>3539</v>
          </cell>
        </row>
        <row r="26">
          <cell r="J26">
            <v>4458</v>
          </cell>
        </row>
        <row r="27">
          <cell r="J27">
            <v>5</v>
          </cell>
        </row>
        <row r="29">
          <cell r="J29">
            <v>8911</v>
          </cell>
        </row>
      </sheetData>
      <sheetData sheetId="4"/>
      <sheetData sheetId="5">
        <row r="9">
          <cell r="D9">
            <v>4</v>
          </cell>
        </row>
        <row r="10">
          <cell r="D10">
            <v>74</v>
          </cell>
        </row>
        <row r="11">
          <cell r="D11">
            <v>1</v>
          </cell>
        </row>
        <row r="12">
          <cell r="D12">
            <v>5</v>
          </cell>
        </row>
        <row r="13">
          <cell r="D13">
            <v>6</v>
          </cell>
        </row>
        <row r="14">
          <cell r="D14">
            <v>221</v>
          </cell>
        </row>
        <row r="15">
          <cell r="D15">
            <v>9</v>
          </cell>
        </row>
        <row r="16">
          <cell r="D16">
            <v>683</v>
          </cell>
        </row>
        <row r="17">
          <cell r="D17">
            <v>4</v>
          </cell>
        </row>
        <row r="18">
          <cell r="D18">
            <v>173</v>
          </cell>
        </row>
        <row r="19">
          <cell r="D19">
            <v>9</v>
          </cell>
        </row>
        <row r="20">
          <cell r="D20">
            <v>342</v>
          </cell>
        </row>
        <row r="21">
          <cell r="D21">
            <v>22</v>
          </cell>
        </row>
        <row r="22">
          <cell r="D22">
            <v>826</v>
          </cell>
        </row>
        <row r="23">
          <cell r="D23">
            <v>46</v>
          </cell>
        </row>
        <row r="24">
          <cell r="D24">
            <v>2324</v>
          </cell>
        </row>
        <row r="25">
          <cell r="D25">
            <v>4096</v>
          </cell>
        </row>
        <row r="26">
          <cell r="D26">
            <v>6420</v>
          </cell>
        </row>
        <row r="27">
          <cell r="D27">
            <v>4</v>
          </cell>
        </row>
        <row r="29">
          <cell r="D29">
            <v>5009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 Income"/>
      <sheetName val="Jan Statistics"/>
      <sheetName val="Feb Income"/>
      <sheetName val="Feb Statistics"/>
      <sheetName val="Mar Income"/>
      <sheetName val="Mar Statistic"/>
      <sheetName val="Apr Income"/>
      <sheetName val="Apr Statistic"/>
      <sheetName val="May Income"/>
      <sheetName val="May Statistic"/>
      <sheetName val="June Income"/>
      <sheetName val="June Statistic"/>
      <sheetName val="July Income"/>
      <sheetName val="July Statistic"/>
      <sheetName val="Aug Income"/>
      <sheetName val="Aug Statistic"/>
      <sheetName val="Sept Income"/>
      <sheetName val="Sept Statistic"/>
      <sheetName val="Oct Income"/>
      <sheetName val="Oct Statistic"/>
      <sheetName val="Nov Income"/>
      <sheetName val="Nov Statistic"/>
      <sheetName val="Dec Income"/>
      <sheetName val="Dec Statistic"/>
    </sheetNames>
    <sheetDataSet>
      <sheetData sheetId="0"/>
      <sheetData sheetId="1"/>
      <sheetData sheetId="2"/>
      <sheetData sheetId="3"/>
      <sheetData sheetId="4"/>
      <sheetData sheetId="5">
        <row r="9">
          <cell r="J9">
            <v>4</v>
          </cell>
        </row>
        <row r="10">
          <cell r="J10">
            <v>74</v>
          </cell>
        </row>
        <row r="11">
          <cell r="J11">
            <v>1</v>
          </cell>
        </row>
        <row r="12">
          <cell r="J12">
            <v>5</v>
          </cell>
        </row>
        <row r="13">
          <cell r="J13">
            <v>8</v>
          </cell>
        </row>
        <row r="14">
          <cell r="J14">
            <v>296</v>
          </cell>
        </row>
        <row r="15">
          <cell r="J15">
            <v>14</v>
          </cell>
        </row>
        <row r="16">
          <cell r="J16">
            <v>801</v>
          </cell>
        </row>
        <row r="17">
          <cell r="J17">
            <v>7</v>
          </cell>
        </row>
        <row r="18">
          <cell r="J18">
            <v>213</v>
          </cell>
        </row>
        <row r="19">
          <cell r="J19">
            <v>17</v>
          </cell>
        </row>
        <row r="20">
          <cell r="J20">
            <v>620</v>
          </cell>
        </row>
        <row r="21">
          <cell r="J21">
            <v>35</v>
          </cell>
        </row>
        <row r="22">
          <cell r="J22">
            <v>1234</v>
          </cell>
        </row>
        <row r="23">
          <cell r="J23">
            <v>77</v>
          </cell>
        </row>
        <row r="24">
          <cell r="J24">
            <v>3243</v>
          </cell>
        </row>
        <row r="25">
          <cell r="J25">
            <v>7635</v>
          </cell>
        </row>
        <row r="26">
          <cell r="J26">
            <v>10878</v>
          </cell>
        </row>
        <row r="27">
          <cell r="J27">
            <v>9</v>
          </cell>
        </row>
        <row r="29">
          <cell r="J29">
            <v>13920</v>
          </cell>
        </row>
      </sheetData>
      <sheetData sheetId="6"/>
      <sheetData sheetId="7">
        <row r="9">
          <cell r="D9">
            <v>1</v>
          </cell>
        </row>
        <row r="10">
          <cell r="D10">
            <v>34</v>
          </cell>
        </row>
        <row r="11">
          <cell r="D11">
            <v>1</v>
          </cell>
        </row>
        <row r="12">
          <cell r="D12">
            <v>6</v>
          </cell>
        </row>
        <row r="13">
          <cell r="D13">
            <v>3</v>
          </cell>
        </row>
        <row r="14">
          <cell r="D14">
            <v>126</v>
          </cell>
        </row>
        <row r="15">
          <cell r="D15">
            <v>9</v>
          </cell>
        </row>
        <row r="16">
          <cell r="D16">
            <v>585</v>
          </cell>
        </row>
        <row r="17">
          <cell r="D17">
            <v>2</v>
          </cell>
        </row>
        <row r="18">
          <cell r="D18">
            <v>95</v>
          </cell>
        </row>
        <row r="19">
          <cell r="D19">
            <v>5</v>
          </cell>
        </row>
        <row r="20">
          <cell r="D20">
            <v>163</v>
          </cell>
        </row>
        <row r="21">
          <cell r="D21">
            <v>17</v>
          </cell>
        </row>
        <row r="22">
          <cell r="D22">
            <v>545</v>
          </cell>
        </row>
        <row r="23">
          <cell r="D23">
            <v>33</v>
          </cell>
        </row>
        <row r="24">
          <cell r="D24">
            <v>1391</v>
          </cell>
        </row>
        <row r="25">
          <cell r="D25">
            <v>5248</v>
          </cell>
        </row>
        <row r="26">
          <cell r="D26">
            <v>6639</v>
          </cell>
        </row>
        <row r="27">
          <cell r="D27">
            <v>3</v>
          </cell>
        </row>
        <row r="29">
          <cell r="D29">
            <v>4850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6"/>
  <sheetViews>
    <sheetView topLeftCell="A4" workbookViewId="0">
      <selection activeCell="B22" sqref="B22"/>
    </sheetView>
  </sheetViews>
  <sheetFormatPr defaultRowHeight="14.5" x14ac:dyDescent="0.35"/>
  <cols>
    <col min="1" max="1" width="13.453125" customWidth="1"/>
    <col min="2" max="2" width="13.54296875" customWidth="1"/>
    <col min="3" max="3" width="12.81640625" customWidth="1"/>
    <col min="4" max="4" width="13.453125" style="1" bestFit="1" customWidth="1"/>
    <col min="5" max="5" width="12" customWidth="1"/>
    <col min="6" max="6" width="28.81640625" customWidth="1"/>
    <col min="7" max="7" width="13.453125" bestFit="1" customWidth="1"/>
    <col min="8" max="8" width="12.54296875" customWidth="1"/>
    <col min="9" max="9" width="14.1796875" customWidth="1"/>
    <col min="10" max="10" width="12.453125" style="1" bestFit="1" customWidth="1"/>
    <col min="11" max="11" width="14.453125" customWidth="1"/>
  </cols>
  <sheetData>
    <row r="1" spans="1:11" x14ac:dyDescent="0.35">
      <c r="A1" t="s">
        <v>47</v>
      </c>
    </row>
    <row r="2" spans="1:11" x14ac:dyDescent="0.35">
      <c r="A2" t="s">
        <v>46</v>
      </c>
    </row>
    <row r="3" spans="1:11" x14ac:dyDescent="0.35">
      <c r="A3" s="7">
        <v>43861</v>
      </c>
    </row>
    <row r="4" spans="1:11" x14ac:dyDescent="0.35">
      <c r="B4" s="35"/>
    </row>
    <row r="5" spans="1:11" x14ac:dyDescent="0.35">
      <c r="A5" t="s">
        <v>48</v>
      </c>
      <c r="B5" s="34" t="s">
        <v>48</v>
      </c>
      <c r="D5" s="1" t="s">
        <v>49</v>
      </c>
      <c r="G5" t="s">
        <v>48</v>
      </c>
      <c r="H5" t="s">
        <v>48</v>
      </c>
      <c r="J5" s="1" t="s">
        <v>49</v>
      </c>
    </row>
    <row r="6" spans="1:11" x14ac:dyDescent="0.35">
      <c r="A6" t="s">
        <v>6</v>
      </c>
      <c r="B6" s="34" t="s">
        <v>6</v>
      </c>
      <c r="C6" t="s">
        <v>9</v>
      </c>
      <c r="D6" s="1" t="s">
        <v>6</v>
      </c>
      <c r="E6" t="s">
        <v>9</v>
      </c>
      <c r="G6" t="s">
        <v>12</v>
      </c>
      <c r="H6" t="s">
        <v>12</v>
      </c>
      <c r="I6" t="s">
        <v>9</v>
      </c>
      <c r="J6" s="1" t="s">
        <v>12</v>
      </c>
      <c r="K6" t="s">
        <v>9</v>
      </c>
    </row>
    <row r="7" spans="1:11" x14ac:dyDescent="0.35">
      <c r="A7" t="s">
        <v>7</v>
      </c>
      <c r="B7" s="34" t="s">
        <v>8</v>
      </c>
      <c r="D7" s="1" t="s">
        <v>7</v>
      </c>
      <c r="G7" t="s">
        <v>7</v>
      </c>
      <c r="H7" t="s">
        <v>8</v>
      </c>
      <c r="J7" s="1" t="s">
        <v>7</v>
      </c>
    </row>
    <row r="8" spans="1:11" x14ac:dyDescent="0.35">
      <c r="B8" s="34"/>
      <c r="F8" s="38" t="s">
        <v>14</v>
      </c>
    </row>
    <row r="9" spans="1:11" x14ac:dyDescent="0.35">
      <c r="A9" s="1">
        <v>0</v>
      </c>
      <c r="B9" s="10">
        <f>2000</f>
        <v>2000</v>
      </c>
      <c r="C9" s="2">
        <f>+A9-B9</f>
        <v>-2000</v>
      </c>
      <c r="D9" s="1">
        <f>2938.48+2300+14898</f>
        <v>20136.48</v>
      </c>
      <c r="E9" s="2">
        <f>+A9-D9</f>
        <v>-20136.48</v>
      </c>
      <c r="F9" t="s">
        <v>52</v>
      </c>
      <c r="G9" s="1">
        <f>A9</f>
        <v>0</v>
      </c>
      <c r="H9" s="10">
        <f>B9</f>
        <v>2000</v>
      </c>
      <c r="I9" s="2">
        <f>+G9-H9</f>
        <v>-2000</v>
      </c>
      <c r="J9" s="1">
        <f>D9</f>
        <v>20136.48</v>
      </c>
      <c r="K9" s="2">
        <f>+G9-J9</f>
        <v>-20136.48</v>
      </c>
    </row>
    <row r="10" spans="1:11" x14ac:dyDescent="0.35">
      <c r="A10" s="1">
        <v>0</v>
      </c>
      <c r="B10" s="10">
        <f>1600</f>
        <v>1600</v>
      </c>
      <c r="C10" s="2">
        <f>+A10-B10</f>
        <v>-1600</v>
      </c>
      <c r="D10" s="1">
        <f>204.75+200+3146</f>
        <v>3550.75</v>
      </c>
      <c r="E10" s="2">
        <f>+A10-D10</f>
        <v>-3550.75</v>
      </c>
      <c r="F10" t="s">
        <v>53</v>
      </c>
      <c r="G10" s="1">
        <f>A10</f>
        <v>0</v>
      </c>
      <c r="H10" s="10">
        <f t="shared" ref="H10" si="0">B10</f>
        <v>1600</v>
      </c>
      <c r="I10" s="2">
        <f>+G10-H10</f>
        <v>-1600</v>
      </c>
      <c r="J10" s="1">
        <f>D10</f>
        <v>3550.75</v>
      </c>
      <c r="K10" s="2">
        <f>+G10-J10</f>
        <v>-3550.75</v>
      </c>
    </row>
    <row r="11" spans="1:11" x14ac:dyDescent="0.35">
      <c r="A11" s="3">
        <v>0</v>
      </c>
      <c r="B11" s="11">
        <v>0</v>
      </c>
      <c r="C11" s="4">
        <f>+A11-B11</f>
        <v>0</v>
      </c>
      <c r="D11" s="3">
        <v>0</v>
      </c>
      <c r="E11" s="4">
        <f>+A11-D11</f>
        <v>0</v>
      </c>
      <c r="F11" t="s">
        <v>51</v>
      </c>
      <c r="G11" s="3">
        <f>A11</f>
        <v>0</v>
      </c>
      <c r="H11" s="10">
        <f>B11</f>
        <v>0</v>
      </c>
      <c r="I11" s="4">
        <f>+G11-H11</f>
        <v>0</v>
      </c>
      <c r="J11" s="3">
        <f>D11</f>
        <v>0</v>
      </c>
      <c r="K11" s="4">
        <f>+G11-J11</f>
        <v>0</v>
      </c>
    </row>
    <row r="12" spans="1:11" x14ac:dyDescent="0.35">
      <c r="A12" s="1">
        <f>+A11+A10+A9</f>
        <v>0</v>
      </c>
      <c r="B12" s="1">
        <f>+B11+B10+B9</f>
        <v>3600</v>
      </c>
      <c r="C12" s="1">
        <f>+C11+C10+C9</f>
        <v>-3600</v>
      </c>
      <c r="D12" s="1">
        <f>+D11+D10+D9</f>
        <v>23687.23</v>
      </c>
      <c r="E12" s="1">
        <f>+E11+E10+E9</f>
        <v>-23687.23</v>
      </c>
      <c r="F12" t="s">
        <v>13</v>
      </c>
      <c r="G12" s="1">
        <f>+G11+G10+G9</f>
        <v>0</v>
      </c>
      <c r="H12" s="8">
        <f>+H11+H10+H9</f>
        <v>3600</v>
      </c>
      <c r="I12" s="1">
        <f>+I11+I10+I9</f>
        <v>-3600</v>
      </c>
      <c r="J12" s="1">
        <f>+J11+J10+J9</f>
        <v>23687.23</v>
      </c>
      <c r="K12" s="1">
        <f>+K11+K10+K9</f>
        <v>-23687.23</v>
      </c>
    </row>
    <row r="13" spans="1:11" x14ac:dyDescent="0.35">
      <c r="A13" s="1"/>
      <c r="C13" s="2"/>
      <c r="E13" s="2"/>
      <c r="G13" s="1"/>
      <c r="I13" s="2"/>
      <c r="K13" s="2"/>
    </row>
    <row r="14" spans="1:11" x14ac:dyDescent="0.35">
      <c r="A14" s="1">
        <f>7903.63+150+685.82</f>
        <v>8739.4500000000007</v>
      </c>
      <c r="B14" s="10">
        <f>2500+1000+4501+3000</f>
        <v>11001</v>
      </c>
      <c r="C14" s="2">
        <f>+A14-B14</f>
        <v>-2261.5499999999993</v>
      </c>
      <c r="D14" s="1">
        <f>4728.63+4.87+1654.88</f>
        <v>6388.38</v>
      </c>
      <c r="E14" s="2">
        <f>+A14-D14</f>
        <v>2351.0700000000006</v>
      </c>
      <c r="F14" t="s">
        <v>62</v>
      </c>
      <c r="G14" s="1">
        <f>A14</f>
        <v>8739.4500000000007</v>
      </c>
      <c r="H14" s="10">
        <f>B14</f>
        <v>11001</v>
      </c>
      <c r="I14" s="2">
        <f>+G14-H14</f>
        <v>-2261.5499999999993</v>
      </c>
      <c r="J14" s="1">
        <f>D14</f>
        <v>6388.38</v>
      </c>
      <c r="K14" s="2">
        <f>+G14-J14</f>
        <v>2351.0700000000006</v>
      </c>
    </row>
    <row r="15" spans="1:11" x14ac:dyDescent="0.35">
      <c r="A15" s="3">
        <f>66.71</f>
        <v>66.709999999999994</v>
      </c>
      <c r="B15" s="11">
        <v>3000</v>
      </c>
      <c r="C15" s="4">
        <f>+A15-B15</f>
        <v>-2933.29</v>
      </c>
      <c r="D15" s="3">
        <f>1337.11</f>
        <v>1337.11</v>
      </c>
      <c r="E15" s="4">
        <f>+A15-D15</f>
        <v>-1270.3999999999999</v>
      </c>
      <c r="F15" t="s">
        <v>17</v>
      </c>
      <c r="G15" s="3">
        <f>A15</f>
        <v>66.709999999999994</v>
      </c>
      <c r="H15" s="10">
        <f>B15</f>
        <v>3000</v>
      </c>
      <c r="I15" s="4">
        <f>+G15-H15</f>
        <v>-2933.29</v>
      </c>
      <c r="J15" s="3">
        <f>D15</f>
        <v>1337.11</v>
      </c>
      <c r="K15" s="4">
        <f>+G15-J15</f>
        <v>-1270.3999999999999</v>
      </c>
    </row>
    <row r="16" spans="1:11" x14ac:dyDescent="0.35">
      <c r="A16" s="1">
        <f>+A15+A14</f>
        <v>8806.16</v>
      </c>
      <c r="B16" s="1">
        <f>+B15+B14</f>
        <v>14001</v>
      </c>
      <c r="C16" s="1">
        <f>+C15+C14</f>
        <v>-5194.8399999999992</v>
      </c>
      <c r="D16" s="1">
        <f>+D15+D14</f>
        <v>7725.49</v>
      </c>
      <c r="E16" s="1">
        <f>+E15+E14</f>
        <v>1080.6700000000008</v>
      </c>
      <c r="F16" t="s">
        <v>15</v>
      </c>
      <c r="G16" s="1">
        <f>+G15+G14</f>
        <v>8806.16</v>
      </c>
      <c r="H16" s="8">
        <f>+H15+H14</f>
        <v>14001</v>
      </c>
      <c r="I16" s="1">
        <f>+I15+I14</f>
        <v>-5194.8399999999992</v>
      </c>
      <c r="J16" s="1">
        <f>+J15+J14</f>
        <v>7725.49</v>
      </c>
      <c r="K16" s="1">
        <f>+K15+K14</f>
        <v>1080.6700000000008</v>
      </c>
    </row>
    <row r="17" spans="1:11" x14ac:dyDescent="0.35">
      <c r="A17" s="1"/>
      <c r="C17" s="2"/>
      <c r="E17" s="2"/>
      <c r="G17" s="1"/>
      <c r="I17" s="2"/>
      <c r="K17" s="2"/>
    </row>
    <row r="18" spans="1:11" x14ac:dyDescent="0.35">
      <c r="A18" s="1">
        <f>A16+A12</f>
        <v>8806.16</v>
      </c>
      <c r="B18" s="1">
        <f>+B16+B12</f>
        <v>17601</v>
      </c>
      <c r="C18" s="1">
        <f>+C16+C12</f>
        <v>-8794.84</v>
      </c>
      <c r="D18" s="1">
        <f>D16+D12</f>
        <v>31412.720000000001</v>
      </c>
      <c r="E18" s="1">
        <f>+E16+E12</f>
        <v>-22606.559999999998</v>
      </c>
      <c r="F18" t="s">
        <v>16</v>
      </c>
      <c r="G18" s="1">
        <f>G16+G12</f>
        <v>8806.16</v>
      </c>
      <c r="H18" s="1">
        <f>+H16+H12</f>
        <v>17601</v>
      </c>
      <c r="I18" s="1">
        <f>I16+I12</f>
        <v>-8794.84</v>
      </c>
      <c r="J18" s="1">
        <f>J16+J12</f>
        <v>31412.720000000001</v>
      </c>
      <c r="K18" s="1">
        <f>K16+K12</f>
        <v>-22606.559999999998</v>
      </c>
    </row>
    <row r="19" spans="1:11" x14ac:dyDescent="0.35">
      <c r="A19" s="1"/>
      <c r="C19" s="2"/>
      <c r="E19" s="2"/>
      <c r="G19" s="1"/>
      <c r="I19" s="2"/>
      <c r="K19" s="2"/>
    </row>
    <row r="20" spans="1:11" x14ac:dyDescent="0.35">
      <c r="A20" s="1"/>
      <c r="C20" s="2"/>
      <c r="E20" s="2"/>
      <c r="F20" s="38" t="s">
        <v>23</v>
      </c>
      <c r="G20" s="1"/>
      <c r="I20" s="2"/>
      <c r="K20" s="2"/>
    </row>
    <row r="21" spans="1:11" x14ac:dyDescent="0.35">
      <c r="A21" s="1">
        <f>37810.42+2344.26+548.24+1198.83+467.67</f>
        <v>42369.42</v>
      </c>
      <c r="B21" s="10">
        <f>3604+29090+12744+2210+4397</f>
        <v>52045</v>
      </c>
      <c r="C21" s="2">
        <f t="shared" ref="C21:C32" si="1">+A21-B21</f>
        <v>-9675.5800000000017</v>
      </c>
      <c r="D21" s="1">
        <f>69579.02+6076.88+4690.66+1097+1615.76+705.49</f>
        <v>83764.810000000012</v>
      </c>
      <c r="E21" s="2">
        <f t="shared" ref="E21:E32" si="2">+A21-D21</f>
        <v>-41395.390000000014</v>
      </c>
      <c r="F21" t="s">
        <v>0</v>
      </c>
      <c r="G21" s="1">
        <f>A21</f>
        <v>42369.42</v>
      </c>
      <c r="H21" s="10">
        <f>B21</f>
        <v>52045</v>
      </c>
      <c r="I21" s="2">
        <f t="shared" ref="I21:I32" si="3">+G21-H21</f>
        <v>-9675.5800000000017</v>
      </c>
      <c r="J21" s="1">
        <f>D21</f>
        <v>83764.810000000012</v>
      </c>
      <c r="K21" s="2">
        <f t="shared" ref="K21:K32" si="4">+G21-J21</f>
        <v>-41395.390000000014</v>
      </c>
    </row>
    <row r="22" spans="1:11" x14ac:dyDescent="0.35">
      <c r="A22" s="1">
        <f>2681.04+336.99</f>
        <v>3018.0299999999997</v>
      </c>
      <c r="B22" s="10">
        <f>600+600+600+325</f>
        <v>2125</v>
      </c>
      <c r="C22" s="2">
        <f t="shared" si="1"/>
        <v>893.02999999999975</v>
      </c>
      <c r="D22" s="1">
        <f>2724.72+265.04</f>
        <v>2989.7599999999998</v>
      </c>
      <c r="E22" s="2">
        <f t="shared" si="2"/>
        <v>28.269999999999982</v>
      </c>
      <c r="F22" t="s">
        <v>1</v>
      </c>
      <c r="G22" s="1">
        <f t="shared" ref="G22:G31" si="5">A22</f>
        <v>3018.0299999999997</v>
      </c>
      <c r="H22" s="10">
        <f t="shared" ref="H22:H31" si="6">B22</f>
        <v>2125</v>
      </c>
      <c r="I22" s="2">
        <f t="shared" si="3"/>
        <v>893.02999999999975</v>
      </c>
      <c r="J22" s="1">
        <f t="shared" ref="J22:J31" si="7">D22</f>
        <v>2989.7599999999998</v>
      </c>
      <c r="K22" s="2">
        <f t="shared" si="4"/>
        <v>28.269999999999982</v>
      </c>
    </row>
    <row r="23" spans="1:11" x14ac:dyDescent="0.35">
      <c r="A23" s="1">
        <f>61.46+15292.16-2048.78</f>
        <v>13304.839999999998</v>
      </c>
      <c r="B23" s="10">
        <f>800+3500+500+1100+1100+50+1000+1500+10000+500+50</f>
        <v>20100</v>
      </c>
      <c r="C23" s="2">
        <f t="shared" si="1"/>
        <v>-6795.1600000000017</v>
      </c>
      <c r="D23" s="1">
        <f>19200.76+8306.8-1655.08-260-36.98</f>
        <v>25555.499999999996</v>
      </c>
      <c r="E23" s="2">
        <f t="shared" si="2"/>
        <v>-12250.659999999998</v>
      </c>
      <c r="F23" t="s">
        <v>54</v>
      </c>
      <c r="G23" s="1">
        <f t="shared" si="5"/>
        <v>13304.839999999998</v>
      </c>
      <c r="H23" s="10">
        <f t="shared" si="6"/>
        <v>20100</v>
      </c>
      <c r="I23" s="2">
        <f t="shared" si="3"/>
        <v>-6795.1600000000017</v>
      </c>
      <c r="J23" s="1">
        <f t="shared" si="7"/>
        <v>25555.499999999996</v>
      </c>
      <c r="K23" s="2">
        <f t="shared" si="4"/>
        <v>-12250.659999999998</v>
      </c>
    </row>
    <row r="24" spans="1:11" x14ac:dyDescent="0.35">
      <c r="A24" s="1">
        <f>38.2+616.88</f>
        <v>655.08000000000004</v>
      </c>
      <c r="B24" s="10">
        <f>100+1650</f>
        <v>1750</v>
      </c>
      <c r="C24" s="2">
        <f t="shared" si="1"/>
        <v>-1094.92</v>
      </c>
      <c r="D24" s="1">
        <f>2425.72-4.23</f>
        <v>2421.4899999999998</v>
      </c>
      <c r="E24" s="2">
        <f t="shared" si="2"/>
        <v>-1766.4099999999999</v>
      </c>
      <c r="F24" t="s">
        <v>55</v>
      </c>
      <c r="G24" s="1">
        <f t="shared" si="5"/>
        <v>655.08000000000004</v>
      </c>
      <c r="H24" s="10">
        <f t="shared" si="6"/>
        <v>1750</v>
      </c>
      <c r="I24" s="2">
        <f t="shared" si="3"/>
        <v>-1094.92</v>
      </c>
      <c r="J24" s="1">
        <f t="shared" si="7"/>
        <v>2421.4899999999998</v>
      </c>
      <c r="K24" s="2">
        <f t="shared" si="4"/>
        <v>-1766.4099999999999</v>
      </c>
    </row>
    <row r="25" spans="1:11" x14ac:dyDescent="0.35">
      <c r="A25" s="1">
        <v>0</v>
      </c>
      <c r="B25" s="10">
        <f>80</f>
        <v>80</v>
      </c>
      <c r="C25" s="2">
        <f t="shared" si="1"/>
        <v>-80</v>
      </c>
      <c r="D25" s="1">
        <v>0</v>
      </c>
      <c r="E25" s="2">
        <f t="shared" si="2"/>
        <v>0</v>
      </c>
      <c r="F25" t="s">
        <v>56</v>
      </c>
      <c r="G25" s="1">
        <f t="shared" si="5"/>
        <v>0</v>
      </c>
      <c r="H25" s="10">
        <f t="shared" si="6"/>
        <v>80</v>
      </c>
      <c r="I25" s="2">
        <f t="shared" si="3"/>
        <v>-80</v>
      </c>
      <c r="J25" s="1">
        <f t="shared" si="7"/>
        <v>0</v>
      </c>
      <c r="K25" s="2">
        <f t="shared" si="4"/>
        <v>0</v>
      </c>
    </row>
    <row r="26" spans="1:11" x14ac:dyDescent="0.35">
      <c r="A26" s="1">
        <f>834.96+11034.32+2144.32-4387.25-282.5</f>
        <v>9343.8499999999985</v>
      </c>
      <c r="B26" s="10">
        <f>5950+8000+8300-3000</f>
        <v>19250</v>
      </c>
      <c r="C26" s="2">
        <f t="shared" si="1"/>
        <v>-9906.1500000000015</v>
      </c>
      <c r="D26" s="1">
        <f>336.44+19200.57+900+2573.14-3049.63-10173.88-156.18</f>
        <v>9630.4599999999973</v>
      </c>
      <c r="E26" s="2">
        <f t="shared" si="2"/>
        <v>-286.60999999999876</v>
      </c>
      <c r="F26" t="s">
        <v>57</v>
      </c>
      <c r="G26" s="1">
        <f t="shared" si="5"/>
        <v>9343.8499999999985</v>
      </c>
      <c r="H26" s="10">
        <f t="shared" si="6"/>
        <v>19250</v>
      </c>
      <c r="I26" s="2">
        <f t="shared" si="3"/>
        <v>-9906.1500000000015</v>
      </c>
      <c r="J26" s="1">
        <f t="shared" si="7"/>
        <v>9630.4599999999973</v>
      </c>
      <c r="K26" s="2">
        <f t="shared" si="4"/>
        <v>-286.60999999999876</v>
      </c>
    </row>
    <row r="27" spans="1:11" x14ac:dyDescent="0.35">
      <c r="A27" s="1">
        <f>14033.5-8879.07</f>
        <v>5154.43</v>
      </c>
      <c r="B27" s="10">
        <f>3000+1000</f>
        <v>4000</v>
      </c>
      <c r="C27" s="2">
        <f t="shared" si="1"/>
        <v>1154.4300000000003</v>
      </c>
      <c r="D27" s="1">
        <f>8028.54-1406.56-2775.72</f>
        <v>3846.2599999999998</v>
      </c>
      <c r="E27" s="2">
        <f t="shared" si="2"/>
        <v>1308.1700000000005</v>
      </c>
      <c r="F27" t="s">
        <v>58</v>
      </c>
      <c r="G27" s="1">
        <f t="shared" si="5"/>
        <v>5154.43</v>
      </c>
      <c r="H27" s="10">
        <f t="shared" si="6"/>
        <v>4000</v>
      </c>
      <c r="I27" s="2">
        <f t="shared" si="3"/>
        <v>1154.4300000000003</v>
      </c>
      <c r="J27" s="1">
        <f t="shared" si="7"/>
        <v>3846.2599999999998</v>
      </c>
      <c r="K27" s="2">
        <f t="shared" si="4"/>
        <v>1308.1700000000005</v>
      </c>
    </row>
    <row r="28" spans="1:11" x14ac:dyDescent="0.35">
      <c r="A28" s="1">
        <v>0</v>
      </c>
      <c r="B28" s="10">
        <v>0</v>
      </c>
      <c r="C28" s="2">
        <f t="shared" si="1"/>
        <v>0</v>
      </c>
      <c r="D28" s="1">
        <f>2775.72</f>
        <v>2775.72</v>
      </c>
      <c r="E28" s="2">
        <f t="shared" si="2"/>
        <v>-2775.72</v>
      </c>
      <c r="F28" t="s">
        <v>59</v>
      </c>
      <c r="G28" s="1"/>
      <c r="H28" s="10">
        <f t="shared" si="6"/>
        <v>0</v>
      </c>
      <c r="I28" s="2">
        <f t="shared" si="3"/>
        <v>0</v>
      </c>
      <c r="J28" s="1">
        <f t="shared" si="7"/>
        <v>2775.72</v>
      </c>
      <c r="K28" s="2">
        <f t="shared" si="4"/>
        <v>-2775.72</v>
      </c>
    </row>
    <row r="29" spans="1:11" x14ac:dyDescent="0.35">
      <c r="A29" s="1">
        <f>8879.07</f>
        <v>8879.07</v>
      </c>
      <c r="B29" s="10">
        <f>3560</f>
        <v>3560</v>
      </c>
      <c r="C29" s="2">
        <f t="shared" si="1"/>
        <v>5319.07</v>
      </c>
      <c r="D29" s="1">
        <f>4050.72+32.22</f>
        <v>4082.9399999999996</v>
      </c>
      <c r="E29" s="2">
        <f t="shared" si="2"/>
        <v>4796.13</v>
      </c>
      <c r="F29" t="s">
        <v>2</v>
      </c>
      <c r="G29" s="1">
        <f t="shared" si="5"/>
        <v>8879.07</v>
      </c>
      <c r="H29" s="10">
        <f t="shared" si="6"/>
        <v>3560</v>
      </c>
      <c r="I29" s="2">
        <f t="shared" si="3"/>
        <v>5319.07</v>
      </c>
      <c r="J29" s="1">
        <f t="shared" si="7"/>
        <v>4082.9399999999996</v>
      </c>
      <c r="K29" s="2">
        <f t="shared" si="4"/>
        <v>4796.13</v>
      </c>
    </row>
    <row r="30" spans="1:11" x14ac:dyDescent="0.35">
      <c r="A30" s="1">
        <f>2197.21+2048.78+5184.46</f>
        <v>9430.4500000000007</v>
      </c>
      <c r="B30" s="10">
        <f>1750+1750+7826</f>
        <v>11326</v>
      </c>
      <c r="C30" s="2">
        <f t="shared" si="1"/>
        <v>-1895.5499999999993</v>
      </c>
      <c r="D30" s="1">
        <f>1505.11+1655.08+4414.78</f>
        <v>7574.9699999999993</v>
      </c>
      <c r="E30" s="2">
        <f t="shared" si="2"/>
        <v>1855.4800000000014</v>
      </c>
      <c r="F30" t="s">
        <v>3</v>
      </c>
      <c r="G30" s="1">
        <f t="shared" si="5"/>
        <v>9430.4500000000007</v>
      </c>
      <c r="H30" s="10">
        <f t="shared" si="6"/>
        <v>11326</v>
      </c>
      <c r="I30" s="2">
        <f t="shared" si="3"/>
        <v>-1895.5499999999993</v>
      </c>
      <c r="J30" s="1">
        <f t="shared" si="7"/>
        <v>7574.9699999999993</v>
      </c>
      <c r="K30" s="2">
        <f t="shared" si="4"/>
        <v>1855.4800000000014</v>
      </c>
    </row>
    <row r="31" spans="1:11" x14ac:dyDescent="0.35">
      <c r="A31" s="1">
        <f>2536.68+275.03+133.27</f>
        <v>2944.98</v>
      </c>
      <c r="B31" s="10">
        <v>3000</v>
      </c>
      <c r="C31" s="2">
        <f t="shared" si="1"/>
        <v>-55.019999999999982</v>
      </c>
      <c r="D31" s="1">
        <f>2172.41-184.31</f>
        <v>1988.1</v>
      </c>
      <c r="E31" s="2">
        <f t="shared" si="2"/>
        <v>956.88000000000011</v>
      </c>
      <c r="F31" t="s">
        <v>4</v>
      </c>
      <c r="G31" s="1">
        <f t="shared" si="5"/>
        <v>2944.98</v>
      </c>
      <c r="H31" s="10">
        <f t="shared" si="6"/>
        <v>3000</v>
      </c>
      <c r="I31" s="2">
        <f t="shared" si="3"/>
        <v>-55.019999999999982</v>
      </c>
      <c r="J31" s="1">
        <f t="shared" si="7"/>
        <v>1988.1</v>
      </c>
      <c r="K31" s="2">
        <f t="shared" si="4"/>
        <v>956.88000000000011</v>
      </c>
    </row>
    <row r="32" spans="1:11" x14ac:dyDescent="0.35">
      <c r="A32" s="3">
        <f>4387.25+282.5</f>
        <v>4669.75</v>
      </c>
      <c r="B32" s="11">
        <v>6250</v>
      </c>
      <c r="C32" s="4">
        <f t="shared" si="1"/>
        <v>-1580.25</v>
      </c>
      <c r="D32" s="3">
        <f>3049.63+10470.86+156.18</f>
        <v>13676.670000000002</v>
      </c>
      <c r="E32" s="4">
        <f t="shared" si="2"/>
        <v>-9006.9200000000019</v>
      </c>
      <c r="F32" t="s">
        <v>60</v>
      </c>
      <c r="G32" s="3">
        <f>A32</f>
        <v>4669.75</v>
      </c>
      <c r="H32" s="10">
        <f>B32</f>
        <v>6250</v>
      </c>
      <c r="I32" s="4">
        <f t="shared" si="3"/>
        <v>-1580.25</v>
      </c>
      <c r="J32" s="3">
        <f>D32</f>
        <v>13676.670000000002</v>
      </c>
      <c r="K32" s="4">
        <f t="shared" si="4"/>
        <v>-9006.9200000000019</v>
      </c>
    </row>
    <row r="33" spans="1:11" x14ac:dyDescent="0.35">
      <c r="A33" s="1">
        <f>SUM(A21:A32)</f>
        <v>99769.9</v>
      </c>
      <c r="B33" s="1">
        <f>SUM(B21:B32)</f>
        <v>123486</v>
      </c>
      <c r="C33" s="1">
        <f>SUM(C21:C32)</f>
        <v>-23716.100000000006</v>
      </c>
      <c r="D33" s="1">
        <f>SUM(D21:D32)</f>
        <v>158306.68000000002</v>
      </c>
      <c r="E33" s="1">
        <f>SUM(E21:E32)</f>
        <v>-58536.780000000028</v>
      </c>
      <c r="F33" t="s">
        <v>21</v>
      </c>
      <c r="G33" s="1">
        <f>SUM(G21:G32)</f>
        <v>99769.9</v>
      </c>
      <c r="H33" s="8">
        <f>SUM(H21:H32)</f>
        <v>123486</v>
      </c>
      <c r="I33" s="1">
        <f>SUM(I21:I32)</f>
        <v>-23716.100000000006</v>
      </c>
      <c r="J33" s="1">
        <f>SUM(J21:J32)</f>
        <v>158306.68000000002</v>
      </c>
      <c r="K33" s="1">
        <f>SUM(K21:K32)</f>
        <v>-58536.780000000028</v>
      </c>
    </row>
    <row r="34" spans="1:11" x14ac:dyDescent="0.35">
      <c r="A34" s="1"/>
      <c r="C34" s="2"/>
      <c r="E34" s="2"/>
      <c r="G34" s="1"/>
      <c r="I34" s="2"/>
      <c r="K34" s="2"/>
    </row>
    <row r="35" spans="1:11" x14ac:dyDescent="0.35">
      <c r="A35" s="1">
        <f>A18-A33</f>
        <v>-90963.739999999991</v>
      </c>
      <c r="B35" s="1">
        <f>B18-B33</f>
        <v>-105885</v>
      </c>
      <c r="C35" s="1">
        <f>C18-C33</f>
        <v>14921.260000000006</v>
      </c>
      <c r="D35" s="1">
        <f>D18-D33</f>
        <v>-126893.96000000002</v>
      </c>
      <c r="E35" s="1">
        <f>E18-E33</f>
        <v>35930.22000000003</v>
      </c>
      <c r="F35" t="s">
        <v>18</v>
      </c>
      <c r="G35" s="1">
        <f>G18-G33</f>
        <v>-90963.739999999991</v>
      </c>
      <c r="H35" s="1">
        <f>H18-H33</f>
        <v>-105885</v>
      </c>
      <c r="I35" s="9">
        <f>I18-I33</f>
        <v>14921.260000000006</v>
      </c>
      <c r="J35" s="1">
        <f>J18-J33</f>
        <v>-126893.96000000002</v>
      </c>
      <c r="K35" s="1">
        <f>K18-K33</f>
        <v>35930.22000000003</v>
      </c>
    </row>
    <row r="36" spans="1:11" x14ac:dyDescent="0.35">
      <c r="A36" s="1"/>
      <c r="B36" s="10"/>
      <c r="C36" s="2"/>
      <c r="E36" s="2"/>
      <c r="G36" s="1"/>
      <c r="H36" s="10"/>
      <c r="I36" s="2"/>
      <c r="K36" s="2"/>
    </row>
    <row r="37" spans="1:11" x14ac:dyDescent="0.35">
      <c r="A37" s="1">
        <f>80+185307.56</f>
        <v>185387.56</v>
      </c>
      <c r="B37" s="10">
        <f>1800+74800</f>
        <v>76600</v>
      </c>
      <c r="C37" s="2">
        <f>+A37-B37</f>
        <v>108787.56</v>
      </c>
      <c r="D37" s="1">
        <f>2954.23+1198.25+65060.78</f>
        <v>69213.259999999995</v>
      </c>
      <c r="E37" s="2">
        <f>+A37-D37</f>
        <v>116174.3</v>
      </c>
      <c r="F37" t="s">
        <v>61</v>
      </c>
      <c r="G37" s="1">
        <f>A37</f>
        <v>185387.56</v>
      </c>
      <c r="H37" s="10">
        <f>B37</f>
        <v>76600</v>
      </c>
      <c r="I37" s="2">
        <f>+G37-H37</f>
        <v>108787.56</v>
      </c>
      <c r="J37" s="1">
        <f>D37</f>
        <v>69213.259999999995</v>
      </c>
      <c r="K37" s="2">
        <f>+G37-J37</f>
        <v>116174.3</v>
      </c>
    </row>
    <row r="38" spans="1:11" x14ac:dyDescent="0.35">
      <c r="A38" s="3">
        <v>465.84</v>
      </c>
      <c r="B38" s="11">
        <v>2100</v>
      </c>
      <c r="C38" s="4">
        <f>+A38-B38</f>
        <v>-1634.16</v>
      </c>
      <c r="D38" s="3">
        <v>1075.8499999999999</v>
      </c>
      <c r="E38" s="4">
        <f>+A38-D38</f>
        <v>-610.01</v>
      </c>
      <c r="F38" t="s">
        <v>19</v>
      </c>
      <c r="G38" s="3">
        <f>A38</f>
        <v>465.84</v>
      </c>
      <c r="H38" s="10">
        <f t="shared" ref="H38" si="8">B38</f>
        <v>2100</v>
      </c>
      <c r="I38" s="4">
        <f>+G38-H38</f>
        <v>-1634.16</v>
      </c>
      <c r="J38" s="3">
        <f>D38</f>
        <v>1075.8499999999999</v>
      </c>
      <c r="K38" s="4">
        <f>+G38-J38</f>
        <v>-610.01</v>
      </c>
    </row>
    <row r="39" spans="1:11" x14ac:dyDescent="0.35">
      <c r="A39" s="1">
        <f>+A37+A38</f>
        <v>185853.4</v>
      </c>
      <c r="B39" s="1">
        <f>+B37+B38</f>
        <v>78700</v>
      </c>
      <c r="C39" s="1">
        <f>+C37+C38</f>
        <v>107153.4</v>
      </c>
      <c r="D39" s="1">
        <f>+D37+D38</f>
        <v>70289.11</v>
      </c>
      <c r="E39" s="1">
        <f>+E37+E38</f>
        <v>115564.29000000001</v>
      </c>
      <c r="F39" t="s">
        <v>20</v>
      </c>
      <c r="G39" s="1">
        <f>+G37+G38</f>
        <v>185853.4</v>
      </c>
      <c r="H39" s="8">
        <f>+H37+H38</f>
        <v>78700</v>
      </c>
      <c r="I39" s="1">
        <f>+I37+I38</f>
        <v>107153.4</v>
      </c>
      <c r="J39" s="1">
        <f>+J37+J38</f>
        <v>70289.11</v>
      </c>
      <c r="K39" s="1">
        <f>+K37+K38</f>
        <v>115564.29000000001</v>
      </c>
    </row>
    <row r="40" spans="1:11" x14ac:dyDescent="0.35">
      <c r="A40" s="1"/>
      <c r="C40" s="2"/>
      <c r="E40" s="2"/>
      <c r="G40" s="1"/>
      <c r="I40" s="2"/>
      <c r="K40" s="2"/>
    </row>
    <row r="41" spans="1:11" x14ac:dyDescent="0.35">
      <c r="A41" s="1"/>
      <c r="C41" s="2"/>
      <c r="E41" s="2"/>
      <c r="G41" s="1"/>
      <c r="I41" s="2"/>
      <c r="K41" s="2"/>
    </row>
    <row r="42" spans="1:11" x14ac:dyDescent="0.35">
      <c r="A42" s="3">
        <f>A35+A39</f>
        <v>94889.66</v>
      </c>
      <c r="B42" s="3">
        <f t="shared" ref="B42:E42" si="9">B35+B39</f>
        <v>-27185</v>
      </c>
      <c r="C42" s="3">
        <f t="shared" si="9"/>
        <v>122074.66</v>
      </c>
      <c r="D42" s="3">
        <f>D35+D39</f>
        <v>-56604.85000000002</v>
      </c>
      <c r="E42" s="3">
        <f t="shared" si="9"/>
        <v>151494.51000000004</v>
      </c>
      <c r="F42" s="14" t="s">
        <v>50</v>
      </c>
      <c r="G42" s="3">
        <f>G35+G39</f>
        <v>94889.66</v>
      </c>
      <c r="H42" s="3">
        <f t="shared" ref="H42" si="10">H35+H39</f>
        <v>-27185</v>
      </c>
      <c r="I42" s="3">
        <f>+I35+I39</f>
        <v>122074.66</v>
      </c>
      <c r="J42" s="3">
        <f>J35+J39</f>
        <v>-56604.85000000002</v>
      </c>
      <c r="K42" s="3">
        <f t="shared" ref="K42" si="11">K35+K39</f>
        <v>151494.51000000004</v>
      </c>
    </row>
    <row r="43" spans="1:11" x14ac:dyDescent="0.35">
      <c r="D43"/>
      <c r="J43"/>
    </row>
    <row r="44" spans="1:11" ht="15" thickBot="1" x14ac:dyDescent="0.4">
      <c r="A44" s="9">
        <v>16772.580000000002</v>
      </c>
      <c r="B44" s="9">
        <v>14563</v>
      </c>
      <c r="C44" s="9">
        <f>A44-B44</f>
        <v>2209.5800000000017</v>
      </c>
      <c r="D44" s="9">
        <v>18905.419999999998</v>
      </c>
      <c r="E44" s="13">
        <f t="shared" ref="E44:E45" si="12">+A44-D44</f>
        <v>-2132.8399999999965</v>
      </c>
      <c r="F44" t="s">
        <v>22</v>
      </c>
      <c r="G44" s="9">
        <f>A44</f>
        <v>16772.580000000002</v>
      </c>
      <c r="H44" s="10">
        <f t="shared" ref="H44" si="13">B44</f>
        <v>14563</v>
      </c>
      <c r="I44" s="13">
        <f t="shared" ref="I44" si="14">+G44-H44</f>
        <v>2209.5800000000017</v>
      </c>
      <c r="J44" s="9">
        <f>D44</f>
        <v>18905.419999999998</v>
      </c>
      <c r="K44" s="13">
        <f t="shared" ref="K44" si="15">+G44-J44</f>
        <v>-2132.8399999999965</v>
      </c>
    </row>
    <row r="45" spans="1:11" ht="15" thickBot="1" x14ac:dyDescent="0.4">
      <c r="A45" s="16">
        <f>A42-A44</f>
        <v>78117.08</v>
      </c>
      <c r="B45" s="16">
        <f>B42-B44</f>
        <v>-41748</v>
      </c>
      <c r="C45" s="17">
        <f t="shared" ref="C45" si="16">+A45-B45</f>
        <v>119865.08</v>
      </c>
      <c r="D45" s="16">
        <f>D42-D44</f>
        <v>-75510.270000000019</v>
      </c>
      <c r="E45" s="17">
        <f t="shared" si="12"/>
        <v>153627.35000000003</v>
      </c>
      <c r="F45" s="14" t="s">
        <v>5</v>
      </c>
      <c r="G45" s="16">
        <f>G42-G44</f>
        <v>78117.08</v>
      </c>
      <c r="H45" s="16">
        <f>H42-H44</f>
        <v>-41748</v>
      </c>
      <c r="I45" s="16">
        <f t="shared" ref="I45:K45" si="17">I42-I44</f>
        <v>119865.08</v>
      </c>
      <c r="J45" s="16">
        <f>J42-J44</f>
        <v>-75510.270000000019</v>
      </c>
      <c r="K45" s="16">
        <f t="shared" si="17"/>
        <v>153627.35000000003</v>
      </c>
    </row>
    <row r="46" spans="1:11" ht="15" thickTop="1" x14ac:dyDescent="0.35"/>
  </sheetData>
  <pageMargins left="0.7" right="0.7" top="0.75" bottom="0.75" header="0.3" footer="0.3"/>
  <pageSetup scale="7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3:K29"/>
  <sheetViews>
    <sheetView workbookViewId="0">
      <selection activeCell="R25" sqref="A1:XFD1048576"/>
    </sheetView>
  </sheetViews>
  <sheetFormatPr defaultRowHeight="14.5" x14ac:dyDescent="0.35"/>
  <cols>
    <col min="1" max="1" width="11.54296875" customWidth="1"/>
    <col min="6" max="6" width="25" customWidth="1"/>
  </cols>
  <sheetData>
    <row r="3" spans="1:11" x14ac:dyDescent="0.35">
      <c r="A3" s="7"/>
    </row>
    <row r="5" spans="1:11" x14ac:dyDescent="0.35">
      <c r="D5" s="1"/>
      <c r="J5" s="1"/>
    </row>
    <row r="6" spans="1:11" x14ac:dyDescent="0.35">
      <c r="D6" s="1"/>
      <c r="J6" s="1"/>
    </row>
    <row r="7" spans="1:11" x14ac:dyDescent="0.35">
      <c r="D7" s="1"/>
      <c r="J7" s="1"/>
    </row>
    <row r="8" spans="1:11" x14ac:dyDescent="0.35">
      <c r="D8" s="1"/>
      <c r="J8" s="1"/>
    </row>
    <row r="9" spans="1:11" x14ac:dyDescent="0.35">
      <c r="A9" s="5"/>
      <c r="C9" s="6"/>
      <c r="D9" s="5"/>
      <c r="E9" s="6"/>
      <c r="G9" s="5"/>
      <c r="H9" s="5"/>
      <c r="I9" s="6"/>
      <c r="J9" s="5"/>
      <c r="K9" s="6"/>
    </row>
    <row r="10" spans="1:11" x14ac:dyDescent="0.35">
      <c r="A10" s="5"/>
      <c r="C10" s="6"/>
      <c r="D10" s="5"/>
      <c r="E10" s="6"/>
      <c r="G10" s="5"/>
      <c r="H10" s="5"/>
      <c r="I10" s="6"/>
      <c r="J10" s="5"/>
      <c r="K10" s="6"/>
    </row>
    <row r="11" spans="1:11" x14ac:dyDescent="0.35">
      <c r="A11" s="5"/>
      <c r="C11" s="6"/>
      <c r="D11" s="5"/>
      <c r="E11" s="6"/>
      <c r="G11" s="5"/>
      <c r="H11" s="5"/>
      <c r="I11" s="6"/>
      <c r="J11" s="5"/>
      <c r="K11" s="6"/>
    </row>
    <row r="12" spans="1:11" x14ac:dyDescent="0.35">
      <c r="A12" s="5"/>
      <c r="C12" s="6"/>
      <c r="D12" s="5"/>
      <c r="E12" s="6"/>
      <c r="G12" s="5"/>
      <c r="H12" s="5"/>
      <c r="I12" s="6"/>
      <c r="J12" s="5"/>
      <c r="K12" s="6"/>
    </row>
    <row r="13" spans="1:11" x14ac:dyDescent="0.35">
      <c r="A13" s="5"/>
      <c r="C13" s="6"/>
      <c r="D13" s="5"/>
      <c r="E13" s="6"/>
      <c r="G13" s="5"/>
      <c r="H13" s="5"/>
      <c r="I13" s="6"/>
      <c r="J13" s="5"/>
      <c r="K13" s="6"/>
    </row>
    <row r="14" spans="1:11" x14ac:dyDescent="0.35">
      <c r="A14" s="5"/>
      <c r="C14" s="6"/>
      <c r="D14" s="5"/>
      <c r="E14" s="6"/>
      <c r="G14" s="5"/>
      <c r="H14" s="5"/>
      <c r="I14" s="6"/>
      <c r="J14" s="5"/>
      <c r="K14" s="6"/>
    </row>
    <row r="15" spans="1:11" x14ac:dyDescent="0.35">
      <c r="A15" s="5"/>
      <c r="C15" s="6"/>
      <c r="D15" s="5"/>
      <c r="E15" s="6"/>
      <c r="G15" s="5"/>
      <c r="H15" s="5"/>
      <c r="I15" s="6"/>
      <c r="J15" s="5"/>
      <c r="K15" s="6"/>
    </row>
    <row r="16" spans="1:11" x14ac:dyDescent="0.35">
      <c r="A16" s="5"/>
      <c r="C16" s="6"/>
      <c r="D16" s="5"/>
      <c r="E16" s="6"/>
      <c r="G16" s="5"/>
      <c r="H16" s="5"/>
      <c r="I16" s="6"/>
      <c r="J16" s="5"/>
      <c r="K16" s="6"/>
    </row>
    <row r="17" spans="1:11" x14ac:dyDescent="0.35">
      <c r="A17" s="5"/>
      <c r="B17" s="5"/>
      <c r="C17" s="6"/>
      <c r="D17" s="5"/>
      <c r="E17" s="6"/>
      <c r="G17" s="5"/>
      <c r="H17" s="5"/>
      <c r="I17" s="6"/>
      <c r="J17" s="5"/>
      <c r="K17" s="6"/>
    </row>
    <row r="18" spans="1:11" x14ac:dyDescent="0.35">
      <c r="A18" s="5"/>
      <c r="B18" s="5"/>
      <c r="C18" s="6"/>
      <c r="D18" s="5"/>
      <c r="E18" s="6"/>
      <c r="G18" s="5"/>
      <c r="H18" s="5"/>
      <c r="I18" s="6"/>
      <c r="J18" s="5"/>
      <c r="K18" s="6"/>
    </row>
    <row r="19" spans="1:11" x14ac:dyDescent="0.35">
      <c r="A19" s="5"/>
      <c r="C19" s="6"/>
      <c r="D19" s="5"/>
      <c r="E19" s="6"/>
      <c r="G19" s="5"/>
      <c r="H19" s="5"/>
      <c r="I19" s="6"/>
      <c r="J19" s="5"/>
      <c r="K19" s="6"/>
    </row>
    <row r="20" spans="1:11" x14ac:dyDescent="0.35">
      <c r="A20" s="5"/>
      <c r="C20" s="6"/>
      <c r="D20" s="5"/>
      <c r="E20" s="6"/>
      <c r="G20" s="5"/>
      <c r="H20" s="5"/>
      <c r="I20" s="6"/>
      <c r="J20" s="5"/>
      <c r="K20" s="6"/>
    </row>
    <row r="21" spans="1:11" x14ac:dyDescent="0.35">
      <c r="A21" s="5"/>
      <c r="C21" s="6"/>
      <c r="D21" s="5"/>
      <c r="E21" s="6"/>
      <c r="G21" s="5"/>
      <c r="H21" s="5"/>
      <c r="I21" s="6"/>
      <c r="J21" s="5"/>
      <c r="K21" s="6"/>
    </row>
    <row r="22" spans="1:11" x14ac:dyDescent="0.35">
      <c r="A22" s="5"/>
      <c r="C22" s="6"/>
      <c r="D22" s="5"/>
      <c r="E22" s="6"/>
      <c r="G22" s="5"/>
      <c r="H22" s="5"/>
      <c r="I22" s="6"/>
      <c r="J22" s="5"/>
      <c r="K22" s="6"/>
    </row>
    <row r="23" spans="1:11" x14ac:dyDescent="0.35">
      <c r="A23" s="5"/>
      <c r="B23" s="5"/>
      <c r="C23" s="5"/>
      <c r="D23" s="5"/>
      <c r="E23" s="5"/>
      <c r="G23" s="5"/>
      <c r="H23" s="5"/>
      <c r="I23" s="6"/>
      <c r="J23" s="5"/>
      <c r="K23" s="6"/>
    </row>
    <row r="24" spans="1:11" x14ac:dyDescent="0.35">
      <c r="A24" s="5"/>
      <c r="B24" s="5"/>
      <c r="C24" s="5"/>
      <c r="D24" s="5"/>
      <c r="E24" s="5"/>
      <c r="G24" s="5"/>
      <c r="H24" s="5"/>
      <c r="I24" s="6"/>
      <c r="J24" s="5"/>
      <c r="K24" s="6"/>
    </row>
    <row r="25" spans="1:11" x14ac:dyDescent="0.35">
      <c r="A25" s="5"/>
      <c r="B25" s="12"/>
      <c r="C25" s="6"/>
      <c r="D25" s="5"/>
      <c r="E25" s="6"/>
      <c r="G25" s="5"/>
      <c r="H25" s="5"/>
      <c r="I25" s="6"/>
      <c r="J25" s="5"/>
      <c r="K25" s="6"/>
    </row>
    <row r="26" spans="1:11" x14ac:dyDescent="0.35">
      <c r="A26" s="5"/>
      <c r="B26" s="5"/>
      <c r="C26" s="5"/>
      <c r="D26" s="5"/>
      <c r="E26" s="6"/>
      <c r="G26" s="5"/>
      <c r="H26" s="5"/>
      <c r="I26" s="6"/>
      <c r="J26" s="5"/>
      <c r="K26" s="6"/>
    </row>
    <row r="27" spans="1:11" x14ac:dyDescent="0.35">
      <c r="A27" s="5"/>
      <c r="C27" s="6"/>
      <c r="D27" s="5"/>
      <c r="E27" s="6"/>
      <c r="G27" s="5"/>
      <c r="H27" s="5"/>
      <c r="I27" s="6"/>
      <c r="J27" s="5"/>
      <c r="K27" s="6"/>
    </row>
    <row r="28" spans="1:11" x14ac:dyDescent="0.35">
      <c r="G28" s="5"/>
      <c r="H28" s="5"/>
      <c r="J28" s="5"/>
    </row>
    <row r="29" spans="1:11" x14ac:dyDescent="0.35">
      <c r="C29" s="6"/>
      <c r="E29" s="6"/>
      <c r="G29" s="5"/>
      <c r="H29" s="5"/>
      <c r="I29" s="6"/>
      <c r="J29" s="5"/>
      <c r="K29" s="6"/>
    </row>
  </sheetData>
  <pageMargins left="0.7" right="0.7" top="0.75" bottom="0.75" header="0.3" footer="0.3"/>
  <pageSetup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3:K46"/>
  <sheetViews>
    <sheetView topLeftCell="A6" workbookViewId="0">
      <selection activeCell="L31" sqref="A1:XFD1048576"/>
    </sheetView>
  </sheetViews>
  <sheetFormatPr defaultRowHeight="14.5" x14ac:dyDescent="0.35"/>
  <cols>
    <col min="1" max="1" width="13.453125" customWidth="1"/>
    <col min="2" max="2" width="13.54296875" customWidth="1"/>
    <col min="3" max="3" width="12.81640625" customWidth="1"/>
    <col min="4" max="4" width="13.453125" style="1" bestFit="1" customWidth="1"/>
    <col min="5" max="5" width="12" customWidth="1"/>
    <col min="6" max="6" width="28.81640625" customWidth="1"/>
    <col min="7" max="7" width="13.453125" bestFit="1" customWidth="1"/>
    <col min="8" max="8" width="12.81640625" customWidth="1"/>
    <col min="9" max="9" width="16.54296875" customWidth="1"/>
    <col min="10" max="10" width="13.81640625" style="1" customWidth="1"/>
    <col min="11" max="11" width="14.453125" customWidth="1"/>
  </cols>
  <sheetData>
    <row r="3" spans="1:11" x14ac:dyDescent="0.35">
      <c r="A3" s="7"/>
    </row>
    <row r="8" spans="1:11" x14ac:dyDescent="0.35">
      <c r="F8" s="32"/>
    </row>
    <row r="9" spans="1:11" x14ac:dyDescent="0.35">
      <c r="A9" s="1"/>
      <c r="B9" s="10"/>
      <c r="C9" s="2"/>
      <c r="E9" s="2"/>
      <c r="G9" s="1"/>
      <c r="H9" s="10"/>
      <c r="I9" s="2"/>
      <c r="J9" s="10"/>
      <c r="K9" s="2"/>
    </row>
    <row r="10" spans="1:11" x14ac:dyDescent="0.35">
      <c r="A10" s="1"/>
      <c r="B10" s="10"/>
      <c r="C10" s="2"/>
      <c r="E10" s="2"/>
      <c r="G10" s="1"/>
      <c r="H10" s="10"/>
      <c r="I10" s="2"/>
      <c r="J10" s="10"/>
      <c r="K10" s="2"/>
    </row>
    <row r="11" spans="1:11" x14ac:dyDescent="0.35">
      <c r="A11" s="3"/>
      <c r="B11" s="11"/>
      <c r="C11" s="4"/>
      <c r="D11" s="3"/>
      <c r="E11" s="4"/>
      <c r="G11" s="3"/>
      <c r="H11" s="11"/>
      <c r="I11" s="4"/>
      <c r="J11" s="11"/>
      <c r="K11" s="4"/>
    </row>
    <row r="12" spans="1:11" x14ac:dyDescent="0.35">
      <c r="A12" s="1"/>
      <c r="B12" s="1"/>
      <c r="C12" s="1"/>
      <c r="E12" s="1"/>
      <c r="G12" s="9"/>
      <c r="H12" s="9"/>
      <c r="I12" s="1"/>
      <c r="J12" s="9"/>
      <c r="K12" s="1"/>
    </row>
    <row r="13" spans="1:11" x14ac:dyDescent="0.35">
      <c r="A13" s="1"/>
      <c r="C13" s="2"/>
      <c r="E13" s="2"/>
      <c r="G13" s="1"/>
      <c r="I13" s="2"/>
      <c r="J13"/>
      <c r="K13" s="2"/>
    </row>
    <row r="14" spans="1:11" x14ac:dyDescent="0.35">
      <c r="A14" s="1"/>
      <c r="B14" s="10"/>
      <c r="C14" s="2"/>
      <c r="E14" s="2"/>
      <c r="G14" s="1"/>
      <c r="H14" s="10"/>
      <c r="I14" s="2"/>
      <c r="J14" s="10"/>
      <c r="K14" s="2"/>
    </row>
    <row r="15" spans="1:11" x14ac:dyDescent="0.35">
      <c r="A15" s="3"/>
      <c r="B15" s="11"/>
      <c r="C15" s="4"/>
      <c r="D15" s="3"/>
      <c r="E15" s="4"/>
      <c r="G15" s="3"/>
      <c r="H15" s="11"/>
      <c r="I15" s="4"/>
      <c r="J15" s="11"/>
      <c r="K15" s="4"/>
    </row>
    <row r="16" spans="1:11" x14ac:dyDescent="0.35">
      <c r="A16" s="1"/>
      <c r="B16" s="1"/>
      <c r="C16" s="1"/>
      <c r="E16" s="1"/>
      <c r="G16" s="9"/>
      <c r="H16" s="1"/>
      <c r="I16" s="1"/>
      <c r="K16" s="1"/>
    </row>
    <row r="17" spans="1:11" x14ac:dyDescent="0.35">
      <c r="A17" s="1"/>
      <c r="C17" s="2"/>
      <c r="E17" s="2"/>
      <c r="G17" s="1"/>
      <c r="I17" s="2"/>
      <c r="J17"/>
      <c r="K17" s="2"/>
    </row>
    <row r="18" spans="1:11" x14ac:dyDescent="0.35">
      <c r="A18" s="1"/>
      <c r="B18" s="1"/>
      <c r="C18" s="1"/>
      <c r="E18" s="1"/>
      <c r="G18" s="1"/>
      <c r="H18" s="1"/>
      <c r="I18" s="1"/>
      <c r="K18" s="1"/>
    </row>
    <row r="19" spans="1:11" x14ac:dyDescent="0.35">
      <c r="A19" s="1"/>
      <c r="C19" s="2"/>
      <c r="E19" s="2"/>
      <c r="G19" s="1"/>
      <c r="I19" s="2"/>
      <c r="J19"/>
      <c r="K19" s="2"/>
    </row>
    <row r="20" spans="1:11" x14ac:dyDescent="0.35">
      <c r="A20" s="1"/>
      <c r="C20" s="2"/>
      <c r="E20" s="2"/>
      <c r="F20" s="32"/>
      <c r="G20" s="1"/>
      <c r="I20" s="2"/>
      <c r="J20"/>
      <c r="K20" s="2"/>
    </row>
    <row r="21" spans="1:11" x14ac:dyDescent="0.35">
      <c r="A21" s="1"/>
      <c r="B21" s="10"/>
      <c r="C21" s="2"/>
      <c r="E21" s="2"/>
      <c r="G21" s="1"/>
      <c r="H21" s="10"/>
      <c r="I21" s="2"/>
      <c r="J21" s="10"/>
      <c r="K21" s="2"/>
    </row>
    <row r="22" spans="1:11" x14ac:dyDescent="0.35">
      <c r="A22" s="1"/>
      <c r="B22" s="10"/>
      <c r="C22" s="2"/>
      <c r="E22" s="2"/>
      <c r="G22" s="1"/>
      <c r="H22" s="10"/>
      <c r="I22" s="2"/>
      <c r="J22" s="10"/>
      <c r="K22" s="2"/>
    </row>
    <row r="23" spans="1:11" x14ac:dyDescent="0.35">
      <c r="A23" s="1"/>
      <c r="B23" s="10"/>
      <c r="C23" s="2"/>
      <c r="E23" s="2"/>
      <c r="G23" s="1"/>
      <c r="H23" s="10"/>
      <c r="I23" s="2"/>
      <c r="J23" s="10"/>
      <c r="K23" s="2"/>
    </row>
    <row r="24" spans="1:11" x14ac:dyDescent="0.35">
      <c r="A24" s="1"/>
      <c r="B24" s="10"/>
      <c r="C24" s="2"/>
      <c r="E24" s="2"/>
      <c r="G24" s="1"/>
      <c r="H24" s="1"/>
      <c r="I24" s="1"/>
      <c r="K24" s="2"/>
    </row>
    <row r="25" spans="1:11" x14ac:dyDescent="0.35">
      <c r="A25" s="1"/>
      <c r="B25" s="10"/>
      <c r="C25" s="2"/>
      <c r="E25" s="2"/>
      <c r="G25" s="1"/>
      <c r="H25" s="10"/>
      <c r="I25" s="2"/>
      <c r="J25" s="10"/>
      <c r="K25" s="2"/>
    </row>
    <row r="26" spans="1:11" x14ac:dyDescent="0.35">
      <c r="A26" s="1"/>
      <c r="B26" s="10"/>
      <c r="C26" s="2"/>
      <c r="E26" s="2"/>
      <c r="G26" s="1"/>
      <c r="H26" s="10"/>
      <c r="I26" s="2"/>
      <c r="J26" s="10"/>
      <c r="K26" s="2"/>
    </row>
    <row r="27" spans="1:11" x14ac:dyDescent="0.35">
      <c r="A27" s="1"/>
      <c r="B27" s="10"/>
      <c r="C27" s="2"/>
      <c r="E27" s="2"/>
      <c r="G27" s="1"/>
      <c r="H27" s="10"/>
      <c r="I27" s="2"/>
      <c r="J27" s="10"/>
      <c r="K27" s="2"/>
    </row>
    <row r="28" spans="1:11" x14ac:dyDescent="0.35">
      <c r="A28" s="1"/>
      <c r="B28" s="10"/>
      <c r="C28" s="2"/>
      <c r="E28" s="2"/>
      <c r="G28" s="1"/>
      <c r="H28" s="10"/>
      <c r="I28" s="2"/>
      <c r="J28" s="10"/>
      <c r="K28" s="2"/>
    </row>
    <row r="29" spans="1:11" x14ac:dyDescent="0.35">
      <c r="A29" s="1"/>
      <c r="B29" s="10"/>
      <c r="C29" s="2"/>
      <c r="E29" s="2"/>
      <c r="G29" s="1"/>
      <c r="H29" s="10"/>
      <c r="I29" s="2"/>
      <c r="J29" s="10"/>
      <c r="K29" s="2"/>
    </row>
    <row r="30" spans="1:11" x14ac:dyDescent="0.35">
      <c r="A30" s="1"/>
      <c r="B30" s="10"/>
      <c r="C30" s="2"/>
      <c r="E30" s="2"/>
      <c r="G30" s="1"/>
      <c r="H30" s="10"/>
      <c r="I30" s="2"/>
      <c r="J30" s="10"/>
      <c r="K30" s="2"/>
    </row>
    <row r="31" spans="1:11" x14ac:dyDescent="0.35">
      <c r="A31" s="1"/>
      <c r="B31" s="10"/>
      <c r="C31" s="2"/>
      <c r="E31" s="2"/>
      <c r="G31" s="1"/>
      <c r="H31" s="10"/>
      <c r="I31" s="2"/>
      <c r="J31" s="10"/>
      <c r="K31" s="2"/>
    </row>
    <row r="32" spans="1:11" x14ac:dyDescent="0.35">
      <c r="A32" s="3"/>
      <c r="B32" s="11"/>
      <c r="C32" s="4"/>
      <c r="D32" s="3"/>
      <c r="E32" s="4"/>
      <c r="G32" s="3"/>
      <c r="H32" s="11"/>
      <c r="I32" s="4"/>
      <c r="J32" s="11"/>
      <c r="K32" s="4"/>
    </row>
    <row r="33" spans="1:11" x14ac:dyDescent="0.35">
      <c r="A33" s="1"/>
      <c r="B33" s="1"/>
      <c r="C33" s="1"/>
      <c r="E33" s="1"/>
      <c r="G33" s="1"/>
      <c r="H33" s="1"/>
      <c r="I33" s="1"/>
      <c r="K33" s="1"/>
    </row>
    <row r="34" spans="1:11" x14ac:dyDescent="0.35">
      <c r="A34" s="1"/>
      <c r="C34" s="2"/>
      <c r="E34" s="2"/>
      <c r="G34" s="9"/>
      <c r="I34" s="2"/>
      <c r="J34"/>
      <c r="K34" s="2"/>
    </row>
    <row r="35" spans="1:11" x14ac:dyDescent="0.35">
      <c r="A35" s="1"/>
      <c r="B35" s="1"/>
      <c r="C35" s="1"/>
      <c r="E35" s="1"/>
      <c r="G35" s="9"/>
      <c r="H35" s="9"/>
      <c r="I35" s="2"/>
      <c r="J35" s="9"/>
      <c r="K35" s="1"/>
    </row>
    <row r="36" spans="1:11" x14ac:dyDescent="0.35">
      <c r="A36" s="1"/>
      <c r="B36" s="10"/>
      <c r="C36" s="2"/>
      <c r="E36" s="2"/>
      <c r="G36" s="9"/>
      <c r="H36" s="10"/>
      <c r="I36" s="2"/>
      <c r="J36" s="10"/>
      <c r="K36" s="2"/>
    </row>
    <row r="37" spans="1:11" x14ac:dyDescent="0.35">
      <c r="A37" s="1"/>
      <c r="B37" s="10"/>
      <c r="C37" s="2"/>
      <c r="E37" s="2"/>
      <c r="G37" s="1"/>
      <c r="H37" s="10"/>
      <c r="I37" s="2"/>
      <c r="J37" s="10"/>
      <c r="K37" s="2"/>
    </row>
    <row r="38" spans="1:11" x14ac:dyDescent="0.35">
      <c r="A38" s="3"/>
      <c r="B38" s="11"/>
      <c r="C38" s="4"/>
      <c r="D38" s="3"/>
      <c r="E38" s="4"/>
      <c r="G38" s="3"/>
      <c r="H38" s="11"/>
      <c r="I38" s="4"/>
      <c r="J38" s="11"/>
      <c r="K38" s="4"/>
    </row>
    <row r="39" spans="1:11" x14ac:dyDescent="0.35">
      <c r="A39" s="1"/>
      <c r="B39" s="1"/>
      <c r="C39" s="1"/>
      <c r="E39" s="1"/>
      <c r="G39" s="9"/>
      <c r="H39" s="9"/>
      <c r="I39" s="1"/>
      <c r="J39" s="9"/>
      <c r="K39" s="1"/>
    </row>
    <row r="40" spans="1:11" x14ac:dyDescent="0.35">
      <c r="A40" s="1"/>
      <c r="C40" s="2"/>
      <c r="E40" s="2"/>
      <c r="G40" s="9"/>
      <c r="I40" s="2"/>
      <c r="J40"/>
      <c r="K40" s="2"/>
    </row>
    <row r="41" spans="1:11" x14ac:dyDescent="0.35">
      <c r="A41" s="1"/>
      <c r="C41" s="2"/>
      <c r="E41" s="2"/>
      <c r="G41" s="9"/>
      <c r="I41" s="2"/>
      <c r="J41"/>
      <c r="K41" s="2"/>
    </row>
    <row r="42" spans="1:11" x14ac:dyDescent="0.35">
      <c r="A42" s="3"/>
      <c r="B42" s="3"/>
      <c r="C42" s="3"/>
      <c r="D42" s="3"/>
      <c r="E42" s="3"/>
      <c r="F42" s="14"/>
      <c r="G42" s="3"/>
      <c r="H42" s="3"/>
      <c r="I42" s="3"/>
      <c r="J42" s="3"/>
      <c r="K42" s="3"/>
    </row>
    <row r="43" spans="1:11" x14ac:dyDescent="0.35">
      <c r="D43"/>
      <c r="J43"/>
    </row>
    <row r="44" spans="1:11" ht="15" thickBot="1" x14ac:dyDescent="0.4">
      <c r="A44" s="9"/>
      <c r="B44" s="9"/>
      <c r="C44" s="13"/>
      <c r="D44" s="9"/>
      <c r="E44" s="13"/>
      <c r="G44" s="1"/>
      <c r="H44" s="10"/>
      <c r="I44" s="13"/>
      <c r="J44" s="10"/>
      <c r="K44" s="13"/>
    </row>
    <row r="45" spans="1:11" ht="15" thickBot="1" x14ac:dyDescent="0.4">
      <c r="A45" s="16"/>
      <c r="B45" s="16"/>
      <c r="C45" s="17"/>
      <c r="D45" s="16"/>
      <c r="E45" s="17"/>
      <c r="F45" s="14"/>
      <c r="G45" s="16"/>
      <c r="H45" s="16"/>
      <c r="I45" s="16"/>
      <c r="J45" s="16"/>
      <c r="K45" s="16"/>
    </row>
    <row r="46" spans="1:11" ht="15" thickTop="1" x14ac:dyDescent="0.35"/>
  </sheetData>
  <pageMargins left="0.7" right="0.7" top="0.75" bottom="0.75" header="0.3" footer="0.3"/>
  <pageSetup scale="74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3:K29"/>
  <sheetViews>
    <sheetView workbookViewId="0">
      <selection activeCell="S25" sqref="A1:XFD1048576"/>
    </sheetView>
  </sheetViews>
  <sheetFormatPr defaultRowHeight="14.5" x14ac:dyDescent="0.35"/>
  <cols>
    <col min="1" max="1" width="11.54296875" customWidth="1"/>
    <col min="6" max="6" width="25" customWidth="1"/>
  </cols>
  <sheetData>
    <row r="3" spans="1:11" x14ac:dyDescent="0.35">
      <c r="A3" s="7"/>
    </row>
    <row r="5" spans="1:11" x14ac:dyDescent="0.35">
      <c r="D5" s="1"/>
      <c r="J5" s="1"/>
    </row>
    <row r="6" spans="1:11" x14ac:dyDescent="0.35">
      <c r="D6" s="1"/>
      <c r="J6" s="1"/>
    </row>
    <row r="7" spans="1:11" x14ac:dyDescent="0.35">
      <c r="D7" s="1"/>
      <c r="J7" s="1"/>
    </row>
    <row r="8" spans="1:11" x14ac:dyDescent="0.35">
      <c r="D8" s="1"/>
      <c r="J8" s="1"/>
    </row>
    <row r="9" spans="1:11" x14ac:dyDescent="0.35">
      <c r="A9" s="5"/>
      <c r="C9" s="6"/>
      <c r="D9" s="5"/>
      <c r="E9" s="6"/>
      <c r="G9" s="5"/>
      <c r="H9" s="5"/>
      <c r="I9" s="6"/>
      <c r="J9" s="5"/>
      <c r="K9" s="6"/>
    </row>
    <row r="10" spans="1:11" x14ac:dyDescent="0.35">
      <c r="A10" s="5"/>
      <c r="C10" s="6"/>
      <c r="D10" s="5"/>
      <c r="E10" s="6"/>
      <c r="G10" s="5"/>
      <c r="H10" s="5"/>
      <c r="I10" s="6"/>
      <c r="J10" s="5"/>
      <c r="K10" s="6"/>
    </row>
    <row r="11" spans="1:11" x14ac:dyDescent="0.35">
      <c r="A11" s="5"/>
      <c r="C11" s="6"/>
      <c r="D11" s="5"/>
      <c r="E11" s="6"/>
      <c r="G11" s="5"/>
      <c r="H11" s="5"/>
      <c r="I11" s="6"/>
      <c r="J11" s="5"/>
      <c r="K11" s="6"/>
    </row>
    <row r="12" spans="1:11" x14ac:dyDescent="0.35">
      <c r="A12" s="5"/>
      <c r="C12" s="6"/>
      <c r="D12" s="5"/>
      <c r="E12" s="6"/>
      <c r="G12" s="5"/>
      <c r="H12" s="5"/>
      <c r="I12" s="6"/>
      <c r="J12" s="5"/>
      <c r="K12" s="6"/>
    </row>
    <row r="13" spans="1:11" x14ac:dyDescent="0.35">
      <c r="A13" s="5"/>
      <c r="C13" s="6"/>
      <c r="D13" s="5"/>
      <c r="E13" s="6"/>
      <c r="G13" s="5"/>
      <c r="H13" s="5"/>
      <c r="I13" s="6"/>
      <c r="J13" s="5"/>
      <c r="K13" s="6"/>
    </row>
    <row r="14" spans="1:11" x14ac:dyDescent="0.35">
      <c r="A14" s="5"/>
      <c r="C14" s="6"/>
      <c r="D14" s="5"/>
      <c r="E14" s="6"/>
      <c r="G14" s="5"/>
      <c r="H14" s="5"/>
      <c r="I14" s="6"/>
      <c r="J14" s="5"/>
      <c r="K14" s="6"/>
    </row>
    <row r="15" spans="1:11" x14ac:dyDescent="0.35">
      <c r="A15" s="5"/>
      <c r="C15" s="6"/>
      <c r="D15" s="5"/>
      <c r="E15" s="6"/>
      <c r="G15" s="5"/>
      <c r="H15" s="5"/>
      <c r="I15" s="6"/>
      <c r="J15" s="5"/>
      <c r="K15" s="6"/>
    </row>
    <row r="16" spans="1:11" x14ac:dyDescent="0.35">
      <c r="A16" s="5"/>
      <c r="C16" s="6"/>
      <c r="D16" s="5"/>
      <c r="E16" s="6"/>
      <c r="G16" s="5"/>
      <c r="H16" s="5"/>
      <c r="I16" s="6"/>
      <c r="J16" s="5"/>
      <c r="K16" s="6"/>
    </row>
    <row r="17" spans="1:11" x14ac:dyDescent="0.35">
      <c r="A17" s="5"/>
      <c r="B17" s="5"/>
      <c r="C17" s="6"/>
      <c r="D17" s="5"/>
      <c r="E17" s="6"/>
      <c r="G17" s="5"/>
      <c r="H17" s="5"/>
      <c r="I17" s="6"/>
      <c r="J17" s="5"/>
      <c r="K17" s="6"/>
    </row>
    <row r="18" spans="1:11" x14ac:dyDescent="0.35">
      <c r="A18" s="5"/>
      <c r="B18" s="5"/>
      <c r="C18" s="6"/>
      <c r="D18" s="5"/>
      <c r="E18" s="6"/>
      <c r="G18" s="5"/>
      <c r="H18" s="5"/>
      <c r="I18" s="6"/>
      <c r="J18" s="5"/>
      <c r="K18" s="6"/>
    </row>
    <row r="19" spans="1:11" x14ac:dyDescent="0.35">
      <c r="A19" s="5"/>
      <c r="C19" s="6"/>
      <c r="D19" s="5"/>
      <c r="E19" s="6"/>
      <c r="G19" s="5"/>
      <c r="H19" s="5"/>
      <c r="I19" s="6"/>
      <c r="J19" s="5"/>
      <c r="K19" s="6"/>
    </row>
    <row r="20" spans="1:11" x14ac:dyDescent="0.35">
      <c r="A20" s="5"/>
      <c r="C20" s="6"/>
      <c r="D20" s="5"/>
      <c r="E20" s="6"/>
      <c r="G20" s="5"/>
      <c r="H20" s="5"/>
      <c r="I20" s="6"/>
      <c r="J20" s="5"/>
      <c r="K20" s="6"/>
    </row>
    <row r="21" spans="1:11" x14ac:dyDescent="0.35">
      <c r="A21" s="5"/>
      <c r="C21" s="6"/>
      <c r="D21" s="5"/>
      <c r="E21" s="6"/>
      <c r="G21" s="5"/>
      <c r="H21" s="5"/>
      <c r="I21" s="6"/>
      <c r="J21" s="5"/>
      <c r="K21" s="6"/>
    </row>
    <row r="22" spans="1:11" x14ac:dyDescent="0.35">
      <c r="A22" s="5"/>
      <c r="C22" s="6"/>
      <c r="D22" s="5"/>
      <c r="E22" s="6"/>
      <c r="G22" s="5"/>
      <c r="H22" s="5"/>
      <c r="I22" s="6"/>
      <c r="J22" s="5"/>
      <c r="K22" s="6"/>
    </row>
    <row r="23" spans="1:11" x14ac:dyDescent="0.35">
      <c r="A23" s="5"/>
      <c r="B23" s="5"/>
      <c r="C23" s="5"/>
      <c r="D23" s="5"/>
      <c r="E23" s="5"/>
      <c r="G23" s="5"/>
      <c r="H23" s="5"/>
      <c r="I23" s="6"/>
      <c r="J23" s="5"/>
      <c r="K23" s="6"/>
    </row>
    <row r="24" spans="1:11" x14ac:dyDescent="0.35">
      <c r="A24" s="5"/>
      <c r="B24" s="5"/>
      <c r="C24" s="5"/>
      <c r="D24" s="5"/>
      <c r="E24" s="5"/>
      <c r="G24" s="5"/>
      <c r="H24" s="5"/>
      <c r="I24" s="6"/>
      <c r="J24" s="5"/>
      <c r="K24" s="6"/>
    </row>
    <row r="25" spans="1:11" x14ac:dyDescent="0.35">
      <c r="A25" s="5"/>
      <c r="B25" s="12"/>
      <c r="C25" s="6"/>
      <c r="D25" s="5"/>
      <c r="E25" s="6"/>
      <c r="G25" s="5"/>
      <c r="H25" s="5"/>
      <c r="I25" s="6"/>
      <c r="J25" s="5"/>
      <c r="K25" s="6"/>
    </row>
    <row r="26" spans="1:11" x14ac:dyDescent="0.35">
      <c r="A26" s="5"/>
      <c r="B26" s="5"/>
      <c r="C26" s="5"/>
      <c r="D26" s="5"/>
      <c r="E26" s="6"/>
      <c r="G26" s="5"/>
      <c r="H26" s="5"/>
      <c r="I26" s="6"/>
      <c r="J26" s="5"/>
      <c r="K26" s="6"/>
    </row>
    <row r="27" spans="1:11" x14ac:dyDescent="0.35">
      <c r="A27" s="5"/>
      <c r="C27" s="6"/>
      <c r="D27" s="5"/>
      <c r="E27" s="6"/>
      <c r="G27" s="5"/>
      <c r="H27" s="5"/>
      <c r="I27" s="6"/>
      <c r="J27" s="5"/>
      <c r="K27" s="6"/>
    </row>
    <row r="28" spans="1:11" x14ac:dyDescent="0.35">
      <c r="G28" s="5"/>
      <c r="H28" s="5"/>
      <c r="J28" s="5"/>
    </row>
    <row r="29" spans="1:11" x14ac:dyDescent="0.35">
      <c r="C29" s="6"/>
      <c r="E29" s="6"/>
      <c r="G29" s="5"/>
      <c r="H29" s="5"/>
      <c r="I29" s="6"/>
      <c r="J29" s="5"/>
      <c r="K29" s="6"/>
    </row>
  </sheetData>
  <pageMargins left="0.7" right="0.7" top="0.75" bottom="0.75" header="0.3" footer="0.3"/>
  <pageSetup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3:K46"/>
  <sheetViews>
    <sheetView topLeftCell="A6" workbookViewId="0">
      <selection activeCell="N30" sqref="A1:XFD1048576"/>
    </sheetView>
  </sheetViews>
  <sheetFormatPr defaultRowHeight="14.5" x14ac:dyDescent="0.35"/>
  <cols>
    <col min="1" max="1" width="13.453125" customWidth="1"/>
    <col min="2" max="2" width="13.54296875" customWidth="1"/>
    <col min="3" max="3" width="12.81640625" customWidth="1"/>
    <col min="4" max="4" width="13.453125" style="1" bestFit="1" customWidth="1"/>
    <col min="5" max="5" width="12" customWidth="1"/>
    <col min="6" max="6" width="28.81640625" customWidth="1"/>
    <col min="7" max="7" width="13.453125" bestFit="1" customWidth="1"/>
    <col min="8" max="8" width="13" customWidth="1"/>
    <col min="9" max="9" width="14.1796875" customWidth="1"/>
    <col min="10" max="10" width="15.453125" style="1" customWidth="1"/>
    <col min="11" max="11" width="14.453125" customWidth="1"/>
  </cols>
  <sheetData>
    <row r="3" spans="1:11" x14ac:dyDescent="0.35">
      <c r="A3" s="7"/>
    </row>
    <row r="8" spans="1:11" x14ac:dyDescent="0.35">
      <c r="F8" s="32"/>
    </row>
    <row r="9" spans="1:11" x14ac:dyDescent="0.35">
      <c r="A9" s="1"/>
      <c r="B9" s="10"/>
      <c r="C9" s="1"/>
      <c r="E9" s="2"/>
      <c r="G9" s="1"/>
      <c r="H9" s="10"/>
      <c r="I9" s="2"/>
      <c r="J9" s="10"/>
      <c r="K9" s="2"/>
    </row>
    <row r="10" spans="1:11" x14ac:dyDescent="0.35">
      <c r="A10" s="1"/>
      <c r="B10" s="10"/>
      <c r="C10" s="1"/>
      <c r="E10" s="2"/>
      <c r="G10" s="1"/>
      <c r="H10" s="10"/>
      <c r="I10" s="2"/>
      <c r="J10" s="10"/>
      <c r="K10" s="2"/>
    </row>
    <row r="11" spans="1:11" x14ac:dyDescent="0.35">
      <c r="A11" s="3"/>
      <c r="B11" s="11"/>
      <c r="C11" s="1"/>
      <c r="D11" s="3"/>
      <c r="E11" s="4"/>
      <c r="G11" s="3"/>
      <c r="H11" s="11"/>
      <c r="I11" s="4"/>
      <c r="J11" s="11"/>
      <c r="K11" s="4"/>
    </row>
    <row r="12" spans="1:11" x14ac:dyDescent="0.35">
      <c r="A12" s="1"/>
      <c r="B12" s="1"/>
      <c r="C12" s="8"/>
      <c r="E12" s="1"/>
      <c r="G12" s="9"/>
      <c r="H12" s="9"/>
      <c r="I12" s="9"/>
      <c r="J12" s="9"/>
      <c r="K12" s="1"/>
    </row>
    <row r="13" spans="1:11" x14ac:dyDescent="0.35">
      <c r="A13" s="1"/>
      <c r="C13" s="1"/>
      <c r="E13" s="2"/>
      <c r="G13" s="1"/>
      <c r="I13" s="2"/>
      <c r="J13"/>
      <c r="K13" s="2"/>
    </row>
    <row r="14" spans="1:11" x14ac:dyDescent="0.35">
      <c r="A14" s="1"/>
      <c r="B14" s="10"/>
      <c r="C14" s="1"/>
      <c r="E14" s="2"/>
      <c r="G14" s="1"/>
      <c r="H14" s="10"/>
      <c r="I14" s="2"/>
      <c r="J14" s="10"/>
      <c r="K14" s="2"/>
    </row>
    <row r="15" spans="1:11" x14ac:dyDescent="0.35">
      <c r="A15" s="3"/>
      <c r="B15" s="11"/>
      <c r="C15" s="1"/>
      <c r="D15" s="3"/>
      <c r="E15" s="4"/>
      <c r="G15" s="3"/>
      <c r="H15" s="11"/>
      <c r="I15" s="4"/>
      <c r="J15" s="11"/>
      <c r="K15" s="4"/>
    </row>
    <row r="16" spans="1:11" x14ac:dyDescent="0.35">
      <c r="A16" s="1"/>
      <c r="B16" s="1"/>
      <c r="C16" s="8"/>
      <c r="E16" s="1"/>
      <c r="G16" s="9"/>
      <c r="H16" s="1"/>
      <c r="I16" s="1"/>
      <c r="K16" s="1"/>
    </row>
    <row r="17" spans="1:11" x14ac:dyDescent="0.35">
      <c r="A17" s="1"/>
      <c r="C17" s="1"/>
      <c r="E17" s="2"/>
      <c r="G17" s="1"/>
      <c r="I17" s="2"/>
      <c r="J17"/>
      <c r="K17" s="2"/>
    </row>
    <row r="18" spans="1:11" x14ac:dyDescent="0.35">
      <c r="A18" s="1"/>
      <c r="B18" s="1"/>
      <c r="C18" s="1"/>
      <c r="E18" s="1"/>
      <c r="G18" s="1"/>
      <c r="H18" s="1"/>
      <c r="I18" s="1"/>
      <c r="K18" s="1"/>
    </row>
    <row r="19" spans="1:11" x14ac:dyDescent="0.35">
      <c r="A19" s="1"/>
      <c r="C19" s="1"/>
      <c r="E19" s="2"/>
      <c r="G19" s="1"/>
      <c r="I19" s="2"/>
      <c r="J19"/>
      <c r="K19" s="2"/>
    </row>
    <row r="20" spans="1:11" x14ac:dyDescent="0.35">
      <c r="A20" s="1"/>
      <c r="C20" s="1"/>
      <c r="E20" s="2"/>
      <c r="F20" s="32"/>
      <c r="G20" s="1"/>
      <c r="I20" s="2"/>
      <c r="J20"/>
      <c r="K20" s="2"/>
    </row>
    <row r="21" spans="1:11" x14ac:dyDescent="0.35">
      <c r="A21" s="1"/>
      <c r="B21" s="10"/>
      <c r="C21" s="1"/>
      <c r="E21" s="2"/>
      <c r="G21" s="1"/>
      <c r="H21" s="10"/>
      <c r="I21" s="2"/>
      <c r="J21" s="10"/>
      <c r="K21" s="2"/>
    </row>
    <row r="22" spans="1:11" x14ac:dyDescent="0.35">
      <c r="A22" s="1"/>
      <c r="B22" s="10"/>
      <c r="C22" s="1"/>
      <c r="E22" s="2"/>
      <c r="G22" s="1"/>
      <c r="H22" s="10"/>
      <c r="I22" s="2"/>
      <c r="J22" s="10"/>
      <c r="K22" s="2"/>
    </row>
    <row r="23" spans="1:11" x14ac:dyDescent="0.35">
      <c r="A23" s="1"/>
      <c r="B23" s="10"/>
      <c r="C23" s="1"/>
      <c r="E23" s="2"/>
      <c r="G23" s="1"/>
      <c r="H23" s="10"/>
      <c r="I23" s="2"/>
      <c r="J23" s="10"/>
      <c r="K23" s="2"/>
    </row>
    <row r="24" spans="1:11" x14ac:dyDescent="0.35">
      <c r="A24" s="1"/>
      <c r="B24" s="10"/>
      <c r="C24" s="1"/>
      <c r="E24" s="2"/>
      <c r="G24" s="1"/>
      <c r="H24" s="10"/>
      <c r="I24" s="2"/>
      <c r="J24" s="10"/>
      <c r="K24" s="2"/>
    </row>
    <row r="25" spans="1:11" x14ac:dyDescent="0.35">
      <c r="A25" s="1"/>
      <c r="B25" s="10"/>
      <c r="C25" s="1"/>
      <c r="E25" s="2"/>
      <c r="G25" s="1"/>
      <c r="H25" s="10"/>
      <c r="I25" s="2"/>
      <c r="J25" s="10"/>
      <c r="K25" s="2"/>
    </row>
    <row r="26" spans="1:11" x14ac:dyDescent="0.35">
      <c r="A26" s="1"/>
      <c r="B26" s="10"/>
      <c r="C26" s="1"/>
      <c r="E26" s="2"/>
      <c r="G26" s="1"/>
      <c r="H26" s="10"/>
      <c r="I26" s="2"/>
      <c r="J26" s="10"/>
      <c r="K26" s="2"/>
    </row>
    <row r="27" spans="1:11" x14ac:dyDescent="0.35">
      <c r="A27" s="1"/>
      <c r="B27" s="10"/>
      <c r="C27" s="1"/>
      <c r="E27" s="2"/>
      <c r="G27" s="1"/>
      <c r="H27" s="10"/>
      <c r="I27" s="2"/>
      <c r="J27" s="10"/>
      <c r="K27" s="2"/>
    </row>
    <row r="28" spans="1:11" x14ac:dyDescent="0.35">
      <c r="A28" s="1"/>
      <c r="B28" s="10"/>
      <c r="C28" s="1"/>
      <c r="E28" s="2"/>
      <c r="G28" s="1"/>
      <c r="H28" s="10"/>
      <c r="I28" s="2"/>
      <c r="J28" s="10"/>
      <c r="K28" s="2"/>
    </row>
    <row r="29" spans="1:11" x14ac:dyDescent="0.35">
      <c r="A29" s="1"/>
      <c r="B29" s="10"/>
      <c r="C29" s="1"/>
      <c r="E29" s="2"/>
      <c r="G29" s="1"/>
      <c r="H29" s="10"/>
      <c r="I29" s="2"/>
      <c r="J29" s="10"/>
      <c r="K29" s="2"/>
    </row>
    <row r="30" spans="1:11" x14ac:dyDescent="0.35">
      <c r="A30" s="1"/>
      <c r="B30" s="10"/>
      <c r="C30" s="1"/>
      <c r="E30" s="2"/>
      <c r="G30" s="1"/>
      <c r="H30" s="10"/>
      <c r="I30" s="2"/>
      <c r="J30" s="10"/>
      <c r="K30" s="2"/>
    </row>
    <row r="31" spans="1:11" x14ac:dyDescent="0.35">
      <c r="A31" s="1"/>
      <c r="B31" s="10"/>
      <c r="C31" s="1"/>
      <c r="E31" s="2"/>
      <c r="G31" s="1"/>
      <c r="H31" s="10"/>
      <c r="I31" s="2"/>
      <c r="J31" s="10"/>
      <c r="K31" s="2"/>
    </row>
    <row r="32" spans="1:11" x14ac:dyDescent="0.35">
      <c r="A32" s="3"/>
      <c r="B32" s="11"/>
      <c r="C32" s="1"/>
      <c r="D32" s="3"/>
      <c r="E32" s="4"/>
      <c r="G32" s="3"/>
      <c r="H32" s="11"/>
      <c r="I32" s="4"/>
      <c r="J32" s="11"/>
      <c r="K32" s="4"/>
    </row>
    <row r="33" spans="1:11" x14ac:dyDescent="0.35">
      <c r="A33" s="1"/>
      <c r="B33" s="1"/>
      <c r="C33" s="8"/>
      <c r="E33" s="1"/>
      <c r="G33" s="1"/>
      <c r="H33" s="1"/>
      <c r="I33" s="1"/>
      <c r="K33" s="1"/>
    </row>
    <row r="34" spans="1:11" x14ac:dyDescent="0.35">
      <c r="A34" s="1"/>
      <c r="C34" s="1"/>
      <c r="E34" s="2"/>
      <c r="G34" s="9"/>
      <c r="I34" s="2"/>
      <c r="J34"/>
      <c r="K34" s="2"/>
    </row>
    <row r="35" spans="1:11" x14ac:dyDescent="0.35">
      <c r="A35" s="1"/>
      <c r="B35" s="1"/>
      <c r="C35" s="1"/>
      <c r="E35" s="1"/>
      <c r="G35" s="1"/>
      <c r="H35" s="1"/>
      <c r="I35" s="1"/>
      <c r="K35" s="1"/>
    </row>
    <row r="36" spans="1:11" x14ac:dyDescent="0.35">
      <c r="A36" s="1"/>
      <c r="B36" s="10"/>
      <c r="C36" s="1"/>
      <c r="E36" s="2"/>
      <c r="G36" s="9"/>
      <c r="H36" s="10"/>
      <c r="I36" s="2"/>
      <c r="J36" s="10"/>
      <c r="K36" s="2"/>
    </row>
    <row r="37" spans="1:11" x14ac:dyDescent="0.35">
      <c r="A37" s="1"/>
      <c r="B37" s="10"/>
      <c r="C37" s="1"/>
      <c r="E37" s="2"/>
      <c r="G37" s="1"/>
      <c r="H37" s="10"/>
      <c r="I37" s="2"/>
      <c r="J37" s="10"/>
      <c r="K37" s="2"/>
    </row>
    <row r="38" spans="1:11" x14ac:dyDescent="0.35">
      <c r="A38" s="3"/>
      <c r="B38" s="11"/>
      <c r="C38" s="3"/>
      <c r="D38" s="3"/>
      <c r="E38" s="4"/>
      <c r="G38" s="3"/>
      <c r="H38" s="11"/>
      <c r="I38" s="4"/>
      <c r="J38" s="11"/>
      <c r="K38" s="4"/>
    </row>
    <row r="39" spans="1:11" x14ac:dyDescent="0.35">
      <c r="A39" s="1"/>
      <c r="B39" s="1"/>
      <c r="C39" s="1"/>
      <c r="E39" s="1"/>
      <c r="G39" s="9"/>
      <c r="H39" s="9"/>
      <c r="I39" s="9"/>
      <c r="J39" s="9"/>
      <c r="K39" s="1"/>
    </row>
    <row r="40" spans="1:11" x14ac:dyDescent="0.35">
      <c r="A40" s="1"/>
      <c r="C40" s="1"/>
      <c r="E40" s="2"/>
      <c r="G40" s="9"/>
      <c r="I40" s="2"/>
      <c r="J40"/>
      <c r="K40" s="2"/>
    </row>
    <row r="41" spans="1:11" x14ac:dyDescent="0.35">
      <c r="A41" s="1"/>
      <c r="C41" s="1"/>
      <c r="E41" s="2"/>
      <c r="G41" s="9"/>
      <c r="I41" s="2"/>
      <c r="J41"/>
      <c r="K41" s="2"/>
    </row>
    <row r="42" spans="1:11" x14ac:dyDescent="0.35">
      <c r="A42" s="3"/>
      <c r="B42" s="3"/>
      <c r="C42" s="3"/>
      <c r="D42" s="3"/>
      <c r="E42" s="3"/>
      <c r="F42" s="14"/>
      <c r="G42" s="3"/>
      <c r="H42" s="3"/>
      <c r="I42" s="3"/>
      <c r="J42" s="3"/>
      <c r="K42" s="3"/>
    </row>
    <row r="43" spans="1:11" x14ac:dyDescent="0.35">
      <c r="D43"/>
      <c r="J43"/>
    </row>
    <row r="44" spans="1:11" ht="15" thickBot="1" x14ac:dyDescent="0.4">
      <c r="A44" s="9"/>
      <c r="B44" s="9"/>
      <c r="C44" s="9"/>
      <c r="D44" s="9"/>
      <c r="E44" s="13"/>
      <c r="G44" s="1"/>
      <c r="H44" s="10"/>
      <c r="I44" s="13"/>
      <c r="J44" s="10"/>
      <c r="K44" s="13"/>
    </row>
    <row r="45" spans="1:11" ht="15" thickBot="1" x14ac:dyDescent="0.4">
      <c r="A45" s="16"/>
      <c r="B45" s="16"/>
      <c r="C45" s="16"/>
      <c r="D45" s="16"/>
      <c r="E45" s="17"/>
      <c r="F45" s="14"/>
      <c r="G45" s="16"/>
      <c r="H45" s="20"/>
      <c r="I45" s="16"/>
      <c r="J45" s="20"/>
      <c r="K45" s="16"/>
    </row>
    <row r="46" spans="1:11" ht="15" thickTop="1" x14ac:dyDescent="0.35"/>
  </sheetData>
  <pageMargins left="0.7" right="0.7" top="0.75" bottom="0.75" header="0.3" footer="0.3"/>
  <pageSetup scale="74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3:K29"/>
  <sheetViews>
    <sheetView topLeftCell="A2" workbookViewId="0">
      <selection activeCell="S26" sqref="A1:XFD1048576"/>
    </sheetView>
  </sheetViews>
  <sheetFormatPr defaultRowHeight="14.5" x14ac:dyDescent="0.35"/>
  <cols>
    <col min="1" max="1" width="11.54296875" customWidth="1"/>
    <col min="6" max="6" width="25" customWidth="1"/>
  </cols>
  <sheetData>
    <row r="3" spans="1:11" x14ac:dyDescent="0.35">
      <c r="A3" s="7"/>
    </row>
    <row r="5" spans="1:11" x14ac:dyDescent="0.35">
      <c r="D5" s="1"/>
      <c r="J5" s="1"/>
    </row>
    <row r="6" spans="1:11" x14ac:dyDescent="0.35">
      <c r="D6" s="1"/>
      <c r="J6" s="1"/>
    </row>
    <row r="7" spans="1:11" x14ac:dyDescent="0.35">
      <c r="D7" s="1"/>
      <c r="J7" s="1"/>
    </row>
    <row r="8" spans="1:11" x14ac:dyDescent="0.35">
      <c r="D8" s="1"/>
      <c r="J8" s="1"/>
    </row>
    <row r="9" spans="1:11" x14ac:dyDescent="0.35">
      <c r="A9" s="5"/>
      <c r="C9" s="6"/>
      <c r="D9" s="5"/>
      <c r="E9" s="6"/>
      <c r="G9" s="5"/>
      <c r="H9" s="5"/>
      <c r="I9" s="6"/>
      <c r="J9" s="5"/>
      <c r="K9" s="6"/>
    </row>
    <row r="10" spans="1:11" x14ac:dyDescent="0.35">
      <c r="A10" s="5"/>
      <c r="C10" s="6"/>
      <c r="D10" s="5"/>
      <c r="E10" s="6"/>
      <c r="G10" s="5"/>
      <c r="H10" s="5"/>
      <c r="I10" s="6"/>
      <c r="J10" s="5"/>
      <c r="K10" s="6"/>
    </row>
    <row r="11" spans="1:11" x14ac:dyDescent="0.35">
      <c r="A11" s="5"/>
      <c r="C11" s="6"/>
      <c r="D11" s="5"/>
      <c r="E11" s="6"/>
      <c r="G11" s="5"/>
      <c r="H11" s="5"/>
      <c r="I11" s="6"/>
      <c r="J11" s="5"/>
      <c r="K11" s="6"/>
    </row>
    <row r="12" spans="1:11" x14ac:dyDescent="0.35">
      <c r="A12" s="5"/>
      <c r="C12" s="6"/>
      <c r="D12" s="5"/>
      <c r="E12" s="6"/>
      <c r="G12" s="5"/>
      <c r="H12" s="5"/>
      <c r="I12" s="6"/>
      <c r="J12" s="5"/>
      <c r="K12" s="6"/>
    </row>
    <row r="13" spans="1:11" x14ac:dyDescent="0.35">
      <c r="A13" s="5"/>
      <c r="C13" s="6"/>
      <c r="D13" s="5"/>
      <c r="E13" s="6"/>
      <c r="G13" s="5"/>
      <c r="H13" s="5"/>
      <c r="I13" s="6"/>
      <c r="J13" s="5"/>
      <c r="K13" s="6"/>
    </row>
    <row r="14" spans="1:11" x14ac:dyDescent="0.35">
      <c r="A14" s="5"/>
      <c r="C14" s="6"/>
      <c r="D14" s="5"/>
      <c r="E14" s="6"/>
      <c r="G14" s="5"/>
      <c r="H14" s="5"/>
      <c r="I14" s="6"/>
      <c r="J14" s="5"/>
      <c r="K14" s="6"/>
    </row>
    <row r="15" spans="1:11" x14ac:dyDescent="0.35">
      <c r="A15" s="5"/>
      <c r="C15" s="6"/>
      <c r="D15" s="5"/>
      <c r="E15" s="6"/>
      <c r="G15" s="5"/>
      <c r="H15" s="5"/>
      <c r="I15" s="6"/>
      <c r="J15" s="5"/>
      <c r="K15" s="6"/>
    </row>
    <row r="16" spans="1:11" x14ac:dyDescent="0.35">
      <c r="A16" s="5"/>
      <c r="C16" s="6"/>
      <c r="D16" s="5"/>
      <c r="E16" s="6"/>
      <c r="G16" s="5"/>
      <c r="H16" s="5"/>
      <c r="I16" s="6"/>
      <c r="J16" s="5"/>
      <c r="K16" s="6"/>
    </row>
    <row r="17" spans="1:11" x14ac:dyDescent="0.35">
      <c r="A17" s="5"/>
      <c r="B17" s="5"/>
      <c r="C17" s="6"/>
      <c r="D17" s="5"/>
      <c r="E17" s="6"/>
      <c r="G17" s="5"/>
      <c r="H17" s="5"/>
      <c r="I17" s="6"/>
      <c r="J17" s="5"/>
      <c r="K17" s="6"/>
    </row>
    <row r="18" spans="1:11" x14ac:dyDescent="0.35">
      <c r="A18" s="5"/>
      <c r="B18" s="5"/>
      <c r="C18" s="6"/>
      <c r="D18" s="5"/>
      <c r="E18" s="6"/>
      <c r="G18" s="5"/>
      <c r="H18" s="5"/>
      <c r="I18" s="6"/>
      <c r="J18" s="5"/>
      <c r="K18" s="6"/>
    </row>
    <row r="19" spans="1:11" x14ac:dyDescent="0.35">
      <c r="A19" s="5"/>
      <c r="C19" s="6"/>
      <c r="D19" s="5"/>
      <c r="E19" s="6"/>
      <c r="G19" s="5"/>
      <c r="H19" s="5"/>
      <c r="I19" s="6"/>
      <c r="J19" s="5"/>
      <c r="K19" s="6"/>
    </row>
    <row r="20" spans="1:11" x14ac:dyDescent="0.35">
      <c r="A20" s="5"/>
      <c r="C20" s="6"/>
      <c r="D20" s="5"/>
      <c r="E20" s="6"/>
      <c r="G20" s="5"/>
      <c r="H20" s="5"/>
      <c r="I20" s="6"/>
      <c r="J20" s="5"/>
      <c r="K20" s="6"/>
    </row>
    <row r="21" spans="1:11" x14ac:dyDescent="0.35">
      <c r="A21" s="5"/>
      <c r="C21" s="6"/>
      <c r="D21" s="5"/>
      <c r="E21" s="6"/>
      <c r="G21" s="5"/>
      <c r="H21" s="5"/>
      <c r="I21" s="6"/>
      <c r="J21" s="5"/>
      <c r="K21" s="6"/>
    </row>
    <row r="22" spans="1:11" x14ac:dyDescent="0.35">
      <c r="A22" s="5"/>
      <c r="C22" s="6"/>
      <c r="D22" s="5"/>
      <c r="E22" s="6"/>
      <c r="G22" s="5"/>
      <c r="H22" s="5"/>
      <c r="I22" s="6"/>
      <c r="J22" s="5"/>
      <c r="K22" s="6"/>
    </row>
    <row r="23" spans="1:11" x14ac:dyDescent="0.35">
      <c r="A23" s="5"/>
      <c r="B23" s="5"/>
      <c r="C23" s="5"/>
      <c r="D23" s="5"/>
      <c r="E23" s="5"/>
      <c r="G23" s="5"/>
      <c r="H23" s="5"/>
      <c r="I23" s="6"/>
      <c r="J23" s="5"/>
      <c r="K23" s="6"/>
    </row>
    <row r="24" spans="1:11" x14ac:dyDescent="0.35">
      <c r="A24" s="5"/>
      <c r="B24" s="5"/>
      <c r="C24" s="5"/>
      <c r="D24" s="5"/>
      <c r="E24" s="5"/>
      <c r="G24" s="5"/>
      <c r="H24" s="5"/>
      <c r="I24" s="6"/>
      <c r="J24" s="5"/>
      <c r="K24" s="6"/>
    </row>
    <row r="25" spans="1:11" x14ac:dyDescent="0.35">
      <c r="A25" s="5"/>
      <c r="B25" s="12"/>
      <c r="C25" s="6"/>
      <c r="D25" s="5"/>
      <c r="E25" s="6"/>
      <c r="G25" s="5"/>
      <c r="H25" s="5"/>
      <c r="I25" s="6"/>
      <c r="J25" s="5"/>
      <c r="K25" s="6"/>
    </row>
    <row r="26" spans="1:11" x14ac:dyDescent="0.35">
      <c r="A26" s="5"/>
      <c r="B26" s="5"/>
      <c r="C26" s="5"/>
      <c r="D26" s="5"/>
      <c r="E26" s="6"/>
      <c r="G26" s="5"/>
      <c r="H26" s="5"/>
      <c r="I26" s="6"/>
      <c r="J26" s="5"/>
      <c r="K26" s="6"/>
    </row>
    <row r="27" spans="1:11" x14ac:dyDescent="0.35">
      <c r="A27" s="5"/>
      <c r="C27" s="6"/>
      <c r="D27" s="5"/>
      <c r="E27" s="6"/>
      <c r="G27" s="5"/>
      <c r="H27" s="5"/>
      <c r="I27" s="6"/>
      <c r="J27" s="5"/>
      <c r="K27" s="6"/>
    </row>
    <row r="28" spans="1:11" x14ac:dyDescent="0.35">
      <c r="G28" s="5"/>
      <c r="H28" s="5"/>
      <c r="J28" s="5"/>
    </row>
    <row r="29" spans="1:11" x14ac:dyDescent="0.35">
      <c r="C29" s="6"/>
      <c r="E29" s="6"/>
      <c r="G29" s="5"/>
      <c r="H29" s="5"/>
      <c r="I29" s="6"/>
      <c r="J29" s="5"/>
      <c r="K29" s="6"/>
    </row>
  </sheetData>
  <pageMargins left="0.7" right="0.7" top="0.75" bottom="0.75" header="0.3" footer="0.3"/>
  <pageSetup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3:K46"/>
  <sheetViews>
    <sheetView topLeftCell="A5" workbookViewId="0">
      <selection activeCell="M28" sqref="A1:XFD1048576"/>
    </sheetView>
  </sheetViews>
  <sheetFormatPr defaultRowHeight="14.5" x14ac:dyDescent="0.35"/>
  <cols>
    <col min="1" max="1" width="13.453125" customWidth="1"/>
    <col min="2" max="2" width="13.54296875" customWidth="1"/>
    <col min="3" max="3" width="12.81640625" customWidth="1"/>
    <col min="4" max="4" width="13.453125" style="1" bestFit="1" customWidth="1"/>
    <col min="5" max="5" width="12" customWidth="1"/>
    <col min="6" max="6" width="28.81640625" customWidth="1"/>
    <col min="7" max="7" width="13.453125" bestFit="1" customWidth="1"/>
    <col min="8" max="8" width="15.54296875" customWidth="1"/>
    <col min="9" max="9" width="14.1796875" customWidth="1"/>
    <col min="10" max="10" width="13.453125" style="1" customWidth="1"/>
    <col min="11" max="11" width="14.453125" customWidth="1"/>
  </cols>
  <sheetData>
    <row r="3" spans="1:11" x14ac:dyDescent="0.35">
      <c r="A3" s="7"/>
      <c r="B3" s="21"/>
    </row>
    <row r="8" spans="1:11" x14ac:dyDescent="0.35">
      <c r="F8" s="32"/>
    </row>
    <row r="9" spans="1:11" x14ac:dyDescent="0.35">
      <c r="A9" s="1"/>
      <c r="B9" s="10"/>
      <c r="C9" s="2"/>
      <c r="E9" s="2"/>
      <c r="G9" s="1"/>
      <c r="H9" s="10"/>
      <c r="I9" s="2"/>
      <c r="J9" s="10"/>
      <c r="K9" s="2"/>
    </row>
    <row r="10" spans="1:11" x14ac:dyDescent="0.35">
      <c r="A10" s="1"/>
      <c r="B10" s="10"/>
      <c r="C10" s="2"/>
      <c r="E10" s="2"/>
      <c r="G10" s="1"/>
      <c r="H10" s="10"/>
      <c r="I10" s="2"/>
      <c r="J10" s="10"/>
      <c r="K10" s="2"/>
    </row>
    <row r="11" spans="1:11" x14ac:dyDescent="0.35">
      <c r="A11" s="3"/>
      <c r="B11" s="11"/>
      <c r="C11" s="4"/>
      <c r="D11" s="3"/>
      <c r="E11" s="4"/>
      <c r="G11" s="1"/>
      <c r="H11" s="11"/>
      <c r="I11" s="4"/>
      <c r="J11" s="11"/>
      <c r="K11" s="4"/>
    </row>
    <row r="12" spans="1:11" x14ac:dyDescent="0.35">
      <c r="A12" s="1"/>
      <c r="B12" s="1"/>
      <c r="C12" s="1"/>
      <c r="E12" s="1"/>
      <c r="G12" s="8"/>
      <c r="H12" s="9"/>
      <c r="I12" s="1"/>
      <c r="J12" s="9"/>
      <c r="K12" s="1"/>
    </row>
    <row r="13" spans="1:11" x14ac:dyDescent="0.35">
      <c r="A13" s="1"/>
      <c r="C13" s="2"/>
      <c r="E13" s="2"/>
      <c r="G13" s="1"/>
      <c r="I13" s="2"/>
      <c r="J13"/>
      <c r="K13" s="2"/>
    </row>
    <row r="14" spans="1:11" x14ac:dyDescent="0.35">
      <c r="A14" s="1"/>
      <c r="B14" s="10"/>
      <c r="C14" s="2"/>
      <c r="E14" s="2"/>
      <c r="G14" s="1"/>
      <c r="H14" s="10"/>
      <c r="I14" s="2"/>
      <c r="J14" s="10"/>
      <c r="K14" s="2"/>
    </row>
    <row r="15" spans="1:11" x14ac:dyDescent="0.35">
      <c r="A15" s="3"/>
      <c r="B15" s="11"/>
      <c r="C15" s="4"/>
      <c r="D15" s="3"/>
      <c r="E15" s="4"/>
      <c r="G15" s="1"/>
      <c r="H15" s="11"/>
      <c r="I15" s="4"/>
      <c r="J15" s="11"/>
      <c r="K15" s="4"/>
    </row>
    <row r="16" spans="1:11" x14ac:dyDescent="0.35">
      <c r="A16" s="1"/>
      <c r="B16" s="1"/>
      <c r="C16" s="1"/>
      <c r="E16" s="1"/>
      <c r="G16" s="8"/>
      <c r="H16" s="1"/>
      <c r="I16" s="1"/>
      <c r="K16" s="1"/>
    </row>
    <row r="17" spans="1:11" x14ac:dyDescent="0.35">
      <c r="A17" s="1"/>
      <c r="C17" s="2"/>
      <c r="E17" s="2"/>
      <c r="G17" s="1"/>
      <c r="I17" s="2"/>
      <c r="J17"/>
      <c r="K17" s="2"/>
    </row>
    <row r="18" spans="1:11" x14ac:dyDescent="0.35">
      <c r="A18" s="1"/>
      <c r="B18" s="1"/>
      <c r="C18" s="1"/>
      <c r="E18" s="1"/>
      <c r="G18" s="1"/>
      <c r="H18" s="1"/>
      <c r="I18" s="1"/>
      <c r="K18" s="1"/>
    </row>
    <row r="19" spans="1:11" x14ac:dyDescent="0.35">
      <c r="A19" s="1"/>
      <c r="C19" s="2"/>
      <c r="E19" s="2"/>
      <c r="G19" s="1"/>
      <c r="I19" s="2"/>
      <c r="J19"/>
      <c r="K19" s="2"/>
    </row>
    <row r="20" spans="1:11" x14ac:dyDescent="0.35">
      <c r="A20" s="1"/>
      <c r="C20" s="2"/>
      <c r="E20" s="2"/>
      <c r="F20" s="32"/>
      <c r="G20" s="1"/>
      <c r="I20" s="2"/>
      <c r="J20"/>
      <c r="K20" s="2"/>
    </row>
    <row r="21" spans="1:11" x14ac:dyDescent="0.35">
      <c r="A21" s="1"/>
      <c r="B21" s="10"/>
      <c r="C21" s="2"/>
      <c r="E21" s="2"/>
      <c r="G21" s="1"/>
      <c r="H21" s="10"/>
      <c r="I21" s="2"/>
      <c r="J21" s="10"/>
      <c r="K21" s="2"/>
    </row>
    <row r="22" spans="1:11" x14ac:dyDescent="0.35">
      <c r="A22" s="1"/>
      <c r="B22" s="10"/>
      <c r="C22" s="2"/>
      <c r="E22" s="2"/>
      <c r="G22" s="1"/>
      <c r="H22" s="10"/>
      <c r="I22" s="2"/>
      <c r="J22" s="10"/>
      <c r="K22" s="2"/>
    </row>
    <row r="23" spans="1:11" x14ac:dyDescent="0.35">
      <c r="A23" s="1"/>
      <c r="B23" s="10"/>
      <c r="C23" s="2"/>
      <c r="E23" s="2"/>
      <c r="G23" s="1"/>
      <c r="H23" s="10"/>
      <c r="I23" s="2"/>
      <c r="J23" s="10"/>
      <c r="K23" s="2"/>
    </row>
    <row r="24" spans="1:11" x14ac:dyDescent="0.35">
      <c r="A24" s="1"/>
      <c r="B24" s="10"/>
      <c r="C24" s="2"/>
      <c r="E24" s="2"/>
      <c r="G24" s="1"/>
      <c r="H24" s="10"/>
      <c r="I24" s="2"/>
      <c r="J24" s="10"/>
      <c r="K24" s="2"/>
    </row>
    <row r="25" spans="1:11" x14ac:dyDescent="0.35">
      <c r="A25" s="1"/>
      <c r="B25" s="10"/>
      <c r="C25" s="2"/>
      <c r="E25" s="2"/>
      <c r="G25" s="1"/>
      <c r="H25" s="10"/>
      <c r="I25" s="2"/>
      <c r="J25" s="10"/>
      <c r="K25" s="2"/>
    </row>
    <row r="26" spans="1:11" x14ac:dyDescent="0.35">
      <c r="A26" s="1"/>
      <c r="B26" s="10"/>
      <c r="C26" s="2"/>
      <c r="E26" s="2"/>
      <c r="G26" s="1"/>
      <c r="H26" s="10"/>
      <c r="I26" s="2"/>
      <c r="J26" s="10"/>
      <c r="K26" s="2"/>
    </row>
    <row r="27" spans="1:11" x14ac:dyDescent="0.35">
      <c r="A27" s="1"/>
      <c r="B27" s="10"/>
      <c r="C27" s="2"/>
      <c r="E27" s="2"/>
      <c r="G27" s="1"/>
      <c r="H27" s="10"/>
      <c r="I27" s="2"/>
      <c r="J27" s="10"/>
      <c r="K27" s="2"/>
    </row>
    <row r="28" spans="1:11" x14ac:dyDescent="0.35">
      <c r="A28" s="1"/>
      <c r="B28" s="10"/>
      <c r="C28" s="2"/>
      <c r="E28" s="2"/>
      <c r="G28" s="1"/>
      <c r="H28" s="10"/>
      <c r="I28" s="2"/>
      <c r="J28" s="10"/>
      <c r="K28" s="2"/>
    </row>
    <row r="29" spans="1:11" x14ac:dyDescent="0.35">
      <c r="A29" s="1"/>
      <c r="B29" s="10"/>
      <c r="C29" s="2"/>
      <c r="E29" s="2"/>
      <c r="G29" s="1"/>
      <c r="H29" s="10"/>
      <c r="I29" s="2"/>
      <c r="J29" s="10"/>
      <c r="K29" s="2"/>
    </row>
    <row r="30" spans="1:11" x14ac:dyDescent="0.35">
      <c r="A30" s="1"/>
      <c r="B30" s="10"/>
      <c r="C30" s="2"/>
      <c r="E30" s="2"/>
      <c r="G30" s="1"/>
      <c r="H30" s="10"/>
      <c r="I30" s="2"/>
      <c r="J30" s="10"/>
      <c r="K30" s="2"/>
    </row>
    <row r="31" spans="1:11" x14ac:dyDescent="0.35">
      <c r="A31" s="1"/>
      <c r="B31" s="10"/>
      <c r="C31" s="2"/>
      <c r="E31" s="2"/>
      <c r="G31" s="1"/>
      <c r="H31" s="10"/>
      <c r="I31" s="2"/>
      <c r="J31" s="10"/>
      <c r="K31" s="2"/>
    </row>
    <row r="32" spans="1:11" x14ac:dyDescent="0.35">
      <c r="A32" s="3"/>
      <c r="B32" s="11"/>
      <c r="C32" s="4"/>
      <c r="D32" s="3"/>
      <c r="E32" s="4"/>
      <c r="G32" s="1"/>
      <c r="H32" s="11"/>
      <c r="I32" s="4"/>
      <c r="J32" s="11"/>
      <c r="K32" s="4"/>
    </row>
    <row r="33" spans="1:11" x14ac:dyDescent="0.35">
      <c r="A33" s="1"/>
      <c r="B33" s="1"/>
      <c r="C33" s="1"/>
      <c r="E33" s="1"/>
      <c r="G33" s="8"/>
      <c r="H33" s="1"/>
      <c r="I33" s="1"/>
      <c r="K33" s="1"/>
    </row>
    <row r="34" spans="1:11" x14ac:dyDescent="0.35">
      <c r="A34" s="1"/>
      <c r="C34" s="2"/>
      <c r="E34" s="2"/>
      <c r="G34" s="9"/>
      <c r="I34" s="2"/>
      <c r="J34"/>
      <c r="K34" s="2"/>
    </row>
    <row r="35" spans="1:11" x14ac:dyDescent="0.35">
      <c r="A35" s="1"/>
      <c r="B35" s="1"/>
      <c r="C35" s="1"/>
      <c r="E35" s="1"/>
      <c r="G35" s="1"/>
      <c r="H35" s="1"/>
      <c r="I35" s="2"/>
      <c r="K35" s="1"/>
    </row>
    <row r="36" spans="1:11" x14ac:dyDescent="0.35">
      <c r="A36" s="1"/>
      <c r="B36" s="10"/>
      <c r="C36" s="2"/>
      <c r="E36" s="2"/>
      <c r="G36" s="9"/>
      <c r="H36" s="10"/>
      <c r="I36" s="2"/>
      <c r="J36" s="10"/>
      <c r="K36" s="2"/>
    </row>
    <row r="37" spans="1:11" x14ac:dyDescent="0.35">
      <c r="A37" s="1"/>
      <c r="B37" s="10"/>
      <c r="C37" s="2"/>
      <c r="E37" s="2"/>
      <c r="G37" s="1"/>
      <c r="H37" s="10"/>
      <c r="I37" s="2"/>
      <c r="J37" s="10"/>
      <c r="K37" s="2"/>
    </row>
    <row r="38" spans="1:11" x14ac:dyDescent="0.35">
      <c r="A38" s="3"/>
      <c r="B38" s="11"/>
      <c r="C38" s="4"/>
      <c r="D38" s="3"/>
      <c r="E38" s="4"/>
      <c r="G38" s="1"/>
      <c r="H38" s="11"/>
      <c r="I38" s="4"/>
      <c r="J38" s="11"/>
      <c r="K38" s="4"/>
    </row>
    <row r="39" spans="1:11" x14ac:dyDescent="0.35">
      <c r="A39" s="1"/>
      <c r="B39" s="1"/>
      <c r="C39" s="1"/>
      <c r="E39" s="1"/>
      <c r="G39" s="8"/>
      <c r="H39" s="9"/>
      <c r="I39" s="1"/>
      <c r="J39" s="9"/>
      <c r="K39" s="1"/>
    </row>
    <row r="40" spans="1:11" x14ac:dyDescent="0.35">
      <c r="A40" s="1"/>
      <c r="C40" s="2"/>
      <c r="E40" s="2"/>
      <c r="G40" s="9"/>
      <c r="I40" s="2"/>
      <c r="J40"/>
      <c r="K40" s="2"/>
    </row>
    <row r="41" spans="1:11" x14ac:dyDescent="0.35">
      <c r="A41" s="1"/>
      <c r="C41" s="2"/>
      <c r="E41" s="2"/>
      <c r="G41" s="9"/>
      <c r="I41" s="2"/>
      <c r="J41"/>
      <c r="K41" s="2"/>
    </row>
    <row r="42" spans="1:11" x14ac:dyDescent="0.35">
      <c r="A42" s="3"/>
      <c r="B42" s="3"/>
      <c r="C42" s="3"/>
      <c r="D42" s="3"/>
      <c r="E42" s="3"/>
      <c r="F42" s="14"/>
      <c r="G42" s="3"/>
      <c r="H42" s="4"/>
      <c r="I42" s="3"/>
      <c r="J42" s="4"/>
      <c r="K42" s="3"/>
    </row>
    <row r="43" spans="1:11" x14ac:dyDescent="0.35">
      <c r="D43"/>
      <c r="J43"/>
    </row>
    <row r="44" spans="1:11" ht="15" thickBot="1" x14ac:dyDescent="0.4">
      <c r="A44" s="9"/>
      <c r="B44" s="9"/>
      <c r="C44" s="13"/>
      <c r="D44" s="9"/>
      <c r="E44" s="13"/>
      <c r="G44" s="1"/>
      <c r="H44" s="10"/>
      <c r="I44" s="13"/>
      <c r="J44" s="10"/>
      <c r="K44" s="13"/>
    </row>
    <row r="45" spans="1:11" ht="15" thickBot="1" x14ac:dyDescent="0.4">
      <c r="A45" s="16"/>
      <c r="B45" s="16"/>
      <c r="C45" s="17"/>
      <c r="D45" s="16"/>
      <c r="E45" s="17"/>
      <c r="F45" s="14"/>
      <c r="G45" s="16"/>
      <c r="H45" s="17"/>
      <c r="I45" s="16"/>
      <c r="J45" s="17"/>
      <c r="K45" s="16"/>
    </row>
    <row r="46" spans="1:11" ht="15" thickTop="1" x14ac:dyDescent="0.35"/>
  </sheetData>
  <pageMargins left="0.7" right="0.7" top="0.75" bottom="0.75" header="0.3" footer="0.3"/>
  <pageSetup scale="74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3:K29"/>
  <sheetViews>
    <sheetView workbookViewId="0">
      <selection activeCell="R24" sqref="A1:XFD1048576"/>
    </sheetView>
  </sheetViews>
  <sheetFormatPr defaultRowHeight="14.5" x14ac:dyDescent="0.35"/>
  <cols>
    <col min="1" max="1" width="11.54296875" customWidth="1"/>
    <col min="6" max="6" width="25" customWidth="1"/>
  </cols>
  <sheetData>
    <row r="3" spans="1:11" x14ac:dyDescent="0.35">
      <c r="A3" s="7"/>
    </row>
    <row r="5" spans="1:11" x14ac:dyDescent="0.35">
      <c r="D5" s="1"/>
      <c r="J5" s="1"/>
    </row>
    <row r="6" spans="1:11" x14ac:dyDescent="0.35">
      <c r="D6" s="1"/>
      <c r="J6" s="1"/>
    </row>
    <row r="7" spans="1:11" x14ac:dyDescent="0.35">
      <c r="D7" s="1"/>
      <c r="J7" s="1"/>
    </row>
    <row r="8" spans="1:11" x14ac:dyDescent="0.35">
      <c r="D8" s="1"/>
      <c r="J8" s="1"/>
    </row>
    <row r="9" spans="1:11" x14ac:dyDescent="0.35">
      <c r="A9" s="5"/>
      <c r="C9" s="6"/>
      <c r="D9" s="5"/>
      <c r="E9" s="6"/>
      <c r="G9" s="5"/>
      <c r="I9" s="6"/>
      <c r="J9" s="5"/>
      <c r="K9" s="6"/>
    </row>
    <row r="10" spans="1:11" x14ac:dyDescent="0.35">
      <c r="A10" s="5"/>
      <c r="C10" s="6"/>
      <c r="D10" s="5"/>
      <c r="E10" s="6"/>
      <c r="G10" s="5"/>
      <c r="I10" s="6"/>
      <c r="J10" s="5"/>
      <c r="K10" s="6"/>
    </row>
    <row r="11" spans="1:11" x14ac:dyDescent="0.35">
      <c r="A11" s="5"/>
      <c r="C11" s="6"/>
      <c r="D11" s="5"/>
      <c r="E11" s="6"/>
      <c r="G11" s="5"/>
      <c r="I11" s="6"/>
      <c r="J11" s="5"/>
      <c r="K11" s="6"/>
    </row>
    <row r="12" spans="1:11" x14ac:dyDescent="0.35">
      <c r="A12" s="5"/>
      <c r="C12" s="6"/>
      <c r="D12" s="5"/>
      <c r="E12" s="6"/>
      <c r="G12" s="5"/>
      <c r="I12" s="6"/>
      <c r="J12" s="5"/>
      <c r="K12" s="6"/>
    </row>
    <row r="13" spans="1:11" x14ac:dyDescent="0.35">
      <c r="A13" s="5"/>
      <c r="C13" s="6"/>
      <c r="D13" s="5"/>
      <c r="E13" s="6"/>
      <c r="G13" s="5"/>
      <c r="I13" s="6"/>
      <c r="J13" s="5"/>
      <c r="K13" s="6"/>
    </row>
    <row r="14" spans="1:11" x14ac:dyDescent="0.35">
      <c r="A14" s="5"/>
      <c r="C14" s="6"/>
      <c r="D14" s="5"/>
      <c r="E14" s="6"/>
      <c r="G14" s="5"/>
      <c r="I14" s="6"/>
      <c r="J14" s="5"/>
      <c r="K14" s="6"/>
    </row>
    <row r="15" spans="1:11" x14ac:dyDescent="0.35">
      <c r="A15" s="5"/>
      <c r="C15" s="6"/>
      <c r="D15" s="5"/>
      <c r="E15" s="6"/>
      <c r="G15" s="5"/>
      <c r="I15" s="6"/>
      <c r="J15" s="5"/>
      <c r="K15" s="6"/>
    </row>
    <row r="16" spans="1:11" x14ac:dyDescent="0.35">
      <c r="A16" s="5"/>
      <c r="C16" s="6"/>
      <c r="D16" s="5"/>
      <c r="E16" s="6"/>
      <c r="G16" s="5"/>
      <c r="I16" s="6"/>
      <c r="J16" s="5"/>
      <c r="K16" s="6"/>
    </row>
    <row r="17" spans="1:11" x14ac:dyDescent="0.35">
      <c r="A17" s="5"/>
      <c r="B17" s="5"/>
      <c r="C17" s="6"/>
      <c r="D17" s="5"/>
      <c r="E17" s="6"/>
      <c r="G17" s="5"/>
      <c r="I17" s="6"/>
      <c r="J17" s="5"/>
      <c r="K17" s="6"/>
    </row>
    <row r="18" spans="1:11" x14ac:dyDescent="0.35">
      <c r="A18" s="5"/>
      <c r="B18" s="5"/>
      <c r="C18" s="6"/>
      <c r="D18" s="5"/>
      <c r="E18" s="6"/>
      <c r="G18" s="5"/>
      <c r="I18" s="6"/>
      <c r="J18" s="5"/>
      <c r="K18" s="6"/>
    </row>
    <row r="19" spans="1:11" x14ac:dyDescent="0.35">
      <c r="A19" s="5"/>
      <c r="C19" s="6"/>
      <c r="D19" s="5"/>
      <c r="E19" s="6"/>
      <c r="G19" s="5"/>
      <c r="I19" s="6"/>
      <c r="J19" s="5"/>
      <c r="K19" s="6"/>
    </row>
    <row r="20" spans="1:11" x14ac:dyDescent="0.35">
      <c r="A20" s="5"/>
      <c r="C20" s="6"/>
      <c r="D20" s="5"/>
      <c r="E20" s="6"/>
      <c r="G20" s="5"/>
      <c r="I20" s="6"/>
      <c r="J20" s="5"/>
      <c r="K20" s="6"/>
    </row>
    <row r="21" spans="1:11" x14ac:dyDescent="0.35">
      <c r="A21" s="5"/>
      <c r="C21" s="6"/>
      <c r="D21" s="5"/>
      <c r="E21" s="6"/>
      <c r="G21" s="5"/>
      <c r="I21" s="6"/>
      <c r="J21" s="5"/>
      <c r="K21" s="6"/>
    </row>
    <row r="22" spans="1:11" x14ac:dyDescent="0.35">
      <c r="A22" s="5"/>
      <c r="C22" s="6"/>
      <c r="D22" s="5"/>
      <c r="E22" s="6"/>
      <c r="G22" s="5"/>
      <c r="I22" s="6"/>
      <c r="J22" s="5"/>
      <c r="K22" s="6"/>
    </row>
    <row r="23" spans="1:11" x14ac:dyDescent="0.35">
      <c r="A23" s="5"/>
      <c r="B23" s="5"/>
      <c r="C23" s="5"/>
      <c r="D23" s="5"/>
      <c r="E23" s="5"/>
      <c r="G23" s="5"/>
      <c r="I23" s="6"/>
      <c r="J23" s="5"/>
      <c r="K23" s="6"/>
    </row>
    <row r="24" spans="1:11" x14ac:dyDescent="0.35">
      <c r="A24" s="5"/>
      <c r="B24" s="5"/>
      <c r="C24" s="5"/>
      <c r="D24" s="5"/>
      <c r="E24" s="5"/>
      <c r="G24" s="5"/>
      <c r="I24" s="6"/>
      <c r="J24" s="5"/>
      <c r="K24" s="6"/>
    </row>
    <row r="25" spans="1:11" x14ac:dyDescent="0.35">
      <c r="A25" s="5"/>
      <c r="B25" s="12"/>
      <c r="C25" s="6"/>
      <c r="D25" s="5"/>
      <c r="E25" s="6"/>
      <c r="G25" s="5"/>
      <c r="I25" s="6"/>
      <c r="J25" s="5"/>
      <c r="K25" s="6"/>
    </row>
    <row r="26" spans="1:11" x14ac:dyDescent="0.35">
      <c r="A26" s="5"/>
      <c r="B26" s="5"/>
      <c r="C26" s="5"/>
      <c r="D26" s="5"/>
      <c r="E26" s="6"/>
      <c r="G26" s="5"/>
      <c r="I26" s="6"/>
      <c r="J26" s="5"/>
      <c r="K26" s="6"/>
    </row>
    <row r="27" spans="1:11" x14ac:dyDescent="0.35">
      <c r="A27" s="5"/>
      <c r="C27" s="6"/>
      <c r="D27" s="5"/>
      <c r="E27" s="6"/>
      <c r="G27" s="5"/>
      <c r="I27" s="6"/>
      <c r="J27" s="5"/>
      <c r="K27" s="6"/>
    </row>
    <row r="29" spans="1:11" x14ac:dyDescent="0.35">
      <c r="C29" s="6"/>
      <c r="E29" s="6"/>
      <c r="G29" s="5"/>
      <c r="H29" s="18"/>
      <c r="I29" s="6"/>
      <c r="J29" s="5"/>
      <c r="K29" s="6"/>
    </row>
  </sheetData>
  <pageMargins left="0.7" right="0.7" top="0.75" bottom="0.75" header="0.3" footer="0.3"/>
  <pageSetup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3:K46"/>
  <sheetViews>
    <sheetView topLeftCell="A5" workbookViewId="0">
      <selection activeCell="M29" sqref="A1:XFD1048576"/>
    </sheetView>
  </sheetViews>
  <sheetFormatPr defaultRowHeight="14.5" x14ac:dyDescent="0.35"/>
  <cols>
    <col min="1" max="1" width="13.453125" customWidth="1"/>
    <col min="2" max="2" width="13.54296875" customWidth="1"/>
    <col min="3" max="3" width="12.81640625" customWidth="1"/>
    <col min="4" max="4" width="13.453125" style="1" bestFit="1" customWidth="1"/>
    <col min="5" max="5" width="12" customWidth="1"/>
    <col min="6" max="6" width="28.81640625" customWidth="1"/>
    <col min="7" max="7" width="13.453125" bestFit="1" customWidth="1"/>
    <col min="8" max="8" width="14.81640625" customWidth="1"/>
    <col min="9" max="9" width="14.1796875" customWidth="1"/>
    <col min="10" max="10" width="14.81640625" style="1" customWidth="1"/>
    <col min="11" max="11" width="14.453125" customWidth="1"/>
    <col min="13" max="13" width="16.1796875" customWidth="1"/>
  </cols>
  <sheetData>
    <row r="3" spans="1:11" x14ac:dyDescent="0.35">
      <c r="A3" s="7"/>
      <c r="B3" s="21"/>
    </row>
    <row r="5" spans="1:11" ht="15" customHeight="1" x14ac:dyDescent="0.35">
      <c r="F5" s="51"/>
    </row>
    <row r="6" spans="1:11" ht="15" customHeight="1" x14ac:dyDescent="0.35">
      <c r="F6" s="51"/>
    </row>
    <row r="7" spans="1:11" ht="15" customHeight="1" x14ac:dyDescent="0.35">
      <c r="F7" s="51"/>
    </row>
    <row r="8" spans="1:11" x14ac:dyDescent="0.35">
      <c r="F8" s="32"/>
    </row>
    <row r="9" spans="1:11" x14ac:dyDescent="0.35">
      <c r="A9" s="1"/>
      <c r="B9" s="10"/>
      <c r="C9" s="2"/>
      <c r="E9" s="2"/>
      <c r="G9" s="1"/>
      <c r="H9" s="10"/>
      <c r="I9" s="2"/>
      <c r="J9" s="10"/>
      <c r="K9" s="2"/>
    </row>
    <row r="10" spans="1:11" x14ac:dyDescent="0.35">
      <c r="A10" s="1"/>
      <c r="B10" s="10"/>
      <c r="C10" s="2"/>
      <c r="E10" s="2"/>
      <c r="G10" s="1"/>
      <c r="H10" s="10"/>
      <c r="I10" s="2"/>
      <c r="J10" s="10"/>
      <c r="K10" s="2"/>
    </row>
    <row r="11" spans="1:11" x14ac:dyDescent="0.35">
      <c r="A11" s="3"/>
      <c r="B11" s="3"/>
      <c r="C11" s="4"/>
      <c r="D11" s="3"/>
      <c r="E11" s="4"/>
      <c r="G11" s="1"/>
      <c r="H11" s="2"/>
      <c r="I11" s="13"/>
      <c r="J11" s="2"/>
      <c r="K11" s="13"/>
    </row>
    <row r="12" spans="1:11" x14ac:dyDescent="0.35">
      <c r="A12" s="1"/>
      <c r="B12" s="1"/>
      <c r="C12" s="1"/>
      <c r="E12" s="1"/>
      <c r="G12" s="8"/>
      <c r="H12" s="8"/>
      <c r="I12" s="8"/>
      <c r="J12" s="8"/>
      <c r="K12" s="8"/>
    </row>
    <row r="13" spans="1:11" x14ac:dyDescent="0.35">
      <c r="A13" s="1"/>
      <c r="C13" s="2"/>
      <c r="E13" s="2"/>
      <c r="G13" s="1"/>
      <c r="I13" s="2"/>
      <c r="J13"/>
      <c r="K13" s="2"/>
    </row>
    <row r="14" spans="1:11" x14ac:dyDescent="0.35">
      <c r="A14" s="1"/>
      <c r="B14" s="10"/>
      <c r="C14" s="2"/>
      <c r="E14" s="2"/>
      <c r="G14" s="1"/>
      <c r="H14" s="10"/>
      <c r="I14" s="2"/>
      <c r="J14" s="10"/>
      <c r="K14" s="2"/>
    </row>
    <row r="15" spans="1:11" x14ac:dyDescent="0.35">
      <c r="A15" s="3"/>
      <c r="B15" s="11"/>
      <c r="C15" s="4"/>
      <c r="D15" s="3"/>
      <c r="E15" s="4"/>
      <c r="G15" s="1"/>
      <c r="H15" s="10"/>
      <c r="I15" s="13"/>
      <c r="J15" s="10"/>
      <c r="K15" s="13"/>
    </row>
    <row r="16" spans="1:11" x14ac:dyDescent="0.35">
      <c r="A16" s="1"/>
      <c r="B16" s="1"/>
      <c r="C16" s="1"/>
      <c r="E16" s="1"/>
      <c r="G16" s="8"/>
      <c r="H16" s="8"/>
      <c r="I16" s="8"/>
      <c r="J16" s="8"/>
      <c r="K16" s="8"/>
    </row>
    <row r="17" spans="1:11" x14ac:dyDescent="0.35">
      <c r="A17" s="1"/>
      <c r="C17" s="2"/>
      <c r="E17" s="2"/>
      <c r="G17" s="1"/>
      <c r="I17" s="2"/>
      <c r="J17"/>
      <c r="K17" s="2"/>
    </row>
    <row r="18" spans="1:11" x14ac:dyDescent="0.35">
      <c r="A18" s="1"/>
      <c r="B18" s="1"/>
      <c r="C18" s="1"/>
      <c r="E18" s="1"/>
      <c r="G18" s="1"/>
      <c r="H18" s="1"/>
      <c r="I18" s="1"/>
      <c r="K18" s="1"/>
    </row>
    <row r="19" spans="1:11" x14ac:dyDescent="0.35">
      <c r="A19" s="1"/>
      <c r="C19" s="2"/>
      <c r="E19" s="2"/>
      <c r="G19" s="1"/>
      <c r="I19" s="2"/>
      <c r="J19"/>
      <c r="K19" s="2"/>
    </row>
    <row r="20" spans="1:11" x14ac:dyDescent="0.35">
      <c r="A20" s="1"/>
      <c r="C20" s="2"/>
      <c r="E20" s="2"/>
      <c r="F20" s="32"/>
      <c r="G20" s="1"/>
      <c r="I20" s="2"/>
      <c r="J20"/>
      <c r="K20" s="2"/>
    </row>
    <row r="21" spans="1:11" x14ac:dyDescent="0.35">
      <c r="A21" s="1"/>
      <c r="B21" s="10"/>
      <c r="C21" s="2"/>
      <c r="E21" s="2"/>
      <c r="G21" s="1"/>
      <c r="H21" s="10"/>
      <c r="I21" s="2"/>
      <c r="J21" s="10"/>
      <c r="K21" s="2"/>
    </row>
    <row r="22" spans="1:11" x14ac:dyDescent="0.35">
      <c r="A22" s="1"/>
      <c r="B22" s="10"/>
      <c r="C22" s="2"/>
      <c r="E22" s="2"/>
      <c r="G22" s="1"/>
      <c r="H22" s="10"/>
      <c r="I22" s="2"/>
      <c r="J22" s="10"/>
      <c r="K22" s="2"/>
    </row>
    <row r="23" spans="1:11" x14ac:dyDescent="0.35">
      <c r="A23" s="1"/>
      <c r="B23" s="10"/>
      <c r="C23" s="2"/>
      <c r="E23" s="2"/>
      <c r="G23" s="1"/>
      <c r="H23" s="10"/>
      <c r="I23" s="2"/>
      <c r="J23" s="10"/>
      <c r="K23" s="2"/>
    </row>
    <row r="24" spans="1:11" x14ac:dyDescent="0.35">
      <c r="A24" s="1"/>
      <c r="B24" s="10"/>
      <c r="C24" s="2"/>
      <c r="E24" s="2"/>
      <c r="G24" s="1"/>
      <c r="H24" s="10"/>
      <c r="I24" s="2"/>
      <c r="J24" s="10"/>
      <c r="K24" s="2"/>
    </row>
    <row r="25" spans="1:11" x14ac:dyDescent="0.35">
      <c r="A25" s="1"/>
      <c r="B25" s="2"/>
      <c r="C25" s="2"/>
      <c r="E25" s="2"/>
      <c r="G25" s="1"/>
      <c r="H25" s="10"/>
      <c r="I25" s="2"/>
      <c r="J25" s="10"/>
      <c r="K25" s="2"/>
    </row>
    <row r="26" spans="1:11" x14ac:dyDescent="0.35">
      <c r="A26" s="1"/>
      <c r="B26" s="10"/>
      <c r="C26" s="2"/>
      <c r="E26" s="2"/>
      <c r="G26" s="1"/>
      <c r="H26" s="10"/>
      <c r="I26" s="2"/>
      <c r="J26" s="10"/>
      <c r="K26" s="2"/>
    </row>
    <row r="27" spans="1:11" x14ac:dyDescent="0.35">
      <c r="A27" s="1"/>
      <c r="B27" s="10"/>
      <c r="C27" s="2"/>
      <c r="E27" s="2"/>
      <c r="G27" s="1"/>
      <c r="H27" s="10"/>
      <c r="I27" s="2"/>
      <c r="J27" s="10"/>
      <c r="K27" s="2"/>
    </row>
    <row r="28" spans="1:11" x14ac:dyDescent="0.35">
      <c r="A28" s="1"/>
      <c r="B28" s="10"/>
      <c r="C28" s="2"/>
      <c r="E28" s="2"/>
      <c r="G28" s="1"/>
      <c r="H28" s="10"/>
      <c r="I28" s="2"/>
      <c r="J28" s="10"/>
      <c r="K28" s="2"/>
    </row>
    <row r="29" spans="1:11" x14ac:dyDescent="0.35">
      <c r="A29" s="1"/>
      <c r="B29" s="10"/>
      <c r="C29" s="2"/>
      <c r="E29" s="2"/>
      <c r="G29" s="1"/>
      <c r="H29" s="10"/>
      <c r="I29" s="2"/>
      <c r="J29" s="10"/>
      <c r="K29" s="2"/>
    </row>
    <row r="30" spans="1:11" x14ac:dyDescent="0.35">
      <c r="A30" s="1"/>
      <c r="B30" s="10"/>
      <c r="C30" s="2"/>
      <c r="E30" s="2"/>
      <c r="G30" s="1"/>
      <c r="H30" s="10"/>
      <c r="I30" s="2"/>
      <c r="J30" s="10"/>
      <c r="K30" s="2"/>
    </row>
    <row r="31" spans="1:11" x14ac:dyDescent="0.35">
      <c r="A31" s="1"/>
      <c r="B31" s="2"/>
      <c r="C31" s="2"/>
      <c r="E31" s="2"/>
      <c r="G31" s="1"/>
      <c r="H31" s="10"/>
      <c r="I31" s="2"/>
      <c r="J31" s="10"/>
      <c r="K31" s="2"/>
    </row>
    <row r="32" spans="1:11" x14ac:dyDescent="0.35">
      <c r="A32" s="3"/>
      <c r="B32" s="4"/>
      <c r="C32" s="4"/>
      <c r="D32" s="3"/>
      <c r="E32" s="4"/>
      <c r="G32" s="1"/>
      <c r="H32" s="2"/>
      <c r="I32" s="13"/>
      <c r="J32" s="2"/>
      <c r="K32" s="13"/>
    </row>
    <row r="33" spans="1:11" x14ac:dyDescent="0.35">
      <c r="A33" s="1"/>
      <c r="B33" s="1"/>
      <c r="C33" s="1"/>
      <c r="E33" s="1"/>
      <c r="G33" s="8"/>
      <c r="H33" s="8"/>
      <c r="I33" s="8"/>
      <c r="J33" s="8"/>
      <c r="K33" s="8"/>
    </row>
    <row r="34" spans="1:11" x14ac:dyDescent="0.35">
      <c r="A34" s="1"/>
      <c r="C34" s="2"/>
      <c r="E34" s="2"/>
      <c r="G34" s="9"/>
      <c r="I34" s="2"/>
      <c r="J34"/>
      <c r="K34" s="2"/>
    </row>
    <row r="35" spans="1:11" x14ac:dyDescent="0.35">
      <c r="A35" s="1"/>
      <c r="B35" s="1"/>
      <c r="C35" s="1"/>
      <c r="E35" s="1"/>
      <c r="G35" s="1"/>
      <c r="H35" s="1"/>
      <c r="I35" s="2"/>
      <c r="K35" s="1"/>
    </row>
    <row r="36" spans="1:11" x14ac:dyDescent="0.35">
      <c r="A36" s="1"/>
      <c r="B36" s="10"/>
      <c r="C36" s="2"/>
      <c r="E36" s="2"/>
      <c r="G36" s="9"/>
      <c r="H36" s="10"/>
      <c r="I36" s="2"/>
      <c r="J36" s="10"/>
      <c r="K36" s="2"/>
    </row>
    <row r="37" spans="1:11" x14ac:dyDescent="0.35">
      <c r="A37" s="1"/>
      <c r="B37" s="10"/>
      <c r="C37" s="2"/>
      <c r="E37" s="2"/>
      <c r="G37" s="1"/>
      <c r="H37" s="10"/>
      <c r="I37" s="2"/>
      <c r="J37" s="10"/>
      <c r="K37" s="2"/>
    </row>
    <row r="38" spans="1:11" x14ac:dyDescent="0.35">
      <c r="A38" s="3"/>
      <c r="B38" s="11"/>
      <c r="C38" s="4"/>
      <c r="D38" s="3"/>
      <c r="E38" s="4"/>
      <c r="G38" s="1"/>
      <c r="H38" s="10"/>
      <c r="I38" s="13"/>
      <c r="J38" s="10"/>
      <c r="K38" s="13"/>
    </row>
    <row r="39" spans="1:11" x14ac:dyDescent="0.35">
      <c r="A39" s="1"/>
      <c r="B39" s="1"/>
      <c r="C39" s="1"/>
      <c r="E39" s="1"/>
      <c r="G39" s="8"/>
      <c r="H39" s="8"/>
      <c r="I39" s="8"/>
      <c r="J39" s="8"/>
      <c r="K39" s="8"/>
    </row>
    <row r="40" spans="1:11" x14ac:dyDescent="0.35">
      <c r="A40" s="1"/>
      <c r="C40" s="2"/>
      <c r="E40" s="2"/>
      <c r="G40" s="9"/>
      <c r="I40" s="2"/>
      <c r="J40"/>
      <c r="K40" s="2"/>
    </row>
    <row r="41" spans="1:11" x14ac:dyDescent="0.35">
      <c r="A41" s="1"/>
      <c r="C41" s="2"/>
      <c r="E41" s="2"/>
      <c r="G41" s="9"/>
      <c r="I41" s="2"/>
      <c r="J41"/>
      <c r="K41" s="2"/>
    </row>
    <row r="42" spans="1:11" x14ac:dyDescent="0.35">
      <c r="A42" s="3"/>
      <c r="B42" s="3"/>
      <c r="C42" s="3"/>
      <c r="D42" s="3"/>
      <c r="E42" s="3"/>
      <c r="F42" s="14"/>
      <c r="G42" s="1"/>
      <c r="H42" s="3"/>
      <c r="I42" s="3"/>
      <c r="J42" s="3"/>
      <c r="K42" s="3"/>
    </row>
    <row r="43" spans="1:11" x14ac:dyDescent="0.35">
      <c r="D43"/>
      <c r="J43"/>
    </row>
    <row r="44" spans="1:11" ht="15" thickBot="1" x14ac:dyDescent="0.4">
      <c r="A44" s="9"/>
      <c r="B44" s="9"/>
      <c r="C44" s="13"/>
      <c r="D44" s="9"/>
      <c r="E44" s="13"/>
      <c r="G44" s="1"/>
      <c r="H44" s="10"/>
      <c r="I44" s="13"/>
      <c r="J44" s="10"/>
      <c r="K44" s="13"/>
    </row>
    <row r="45" spans="1:11" ht="15" thickBot="1" x14ac:dyDescent="0.4">
      <c r="A45" s="16"/>
      <c r="B45" s="16"/>
      <c r="C45" s="17"/>
      <c r="D45" s="16"/>
      <c r="E45" s="17"/>
      <c r="F45" s="14"/>
      <c r="G45" s="16"/>
      <c r="H45" s="16"/>
      <c r="I45" s="16"/>
      <c r="J45" s="16"/>
      <c r="K45" s="16"/>
    </row>
    <row r="46" spans="1:11" ht="15" thickTop="1" x14ac:dyDescent="0.35"/>
  </sheetData>
  <mergeCells count="1">
    <mergeCell ref="F5:F7"/>
  </mergeCells>
  <pageMargins left="0.7" right="0.7" top="0.75" bottom="0.75" header="0.3" footer="0.3"/>
  <pageSetup scale="73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3:K29"/>
  <sheetViews>
    <sheetView workbookViewId="0">
      <selection activeCell="Q24" sqref="A1:XFD1048576"/>
    </sheetView>
  </sheetViews>
  <sheetFormatPr defaultRowHeight="14.5" x14ac:dyDescent="0.35"/>
  <cols>
    <col min="1" max="1" width="11.54296875" customWidth="1"/>
    <col min="6" max="6" width="25" customWidth="1"/>
  </cols>
  <sheetData>
    <row r="3" spans="1:11" x14ac:dyDescent="0.35">
      <c r="A3" s="7"/>
    </row>
    <row r="5" spans="1:11" x14ac:dyDescent="0.35">
      <c r="D5" s="1"/>
      <c r="F5" s="52"/>
      <c r="J5" s="1"/>
    </row>
    <row r="6" spans="1:11" x14ac:dyDescent="0.35">
      <c r="D6" s="1"/>
      <c r="F6" s="52"/>
      <c r="J6" s="1"/>
    </row>
    <row r="7" spans="1:11" x14ac:dyDescent="0.35">
      <c r="D7" s="1"/>
      <c r="F7" s="52"/>
      <c r="J7" s="1"/>
    </row>
    <row r="8" spans="1:11" x14ac:dyDescent="0.35">
      <c r="D8" s="1"/>
      <c r="F8" s="52"/>
      <c r="J8" s="1"/>
    </row>
    <row r="9" spans="1:11" x14ac:dyDescent="0.35">
      <c r="A9" s="5"/>
      <c r="C9" s="6"/>
      <c r="D9" s="5"/>
      <c r="E9" s="6"/>
      <c r="G9" s="5"/>
      <c r="H9" s="5"/>
      <c r="I9" s="6"/>
      <c r="J9" s="5"/>
      <c r="K9" s="6"/>
    </row>
    <row r="10" spans="1:11" x14ac:dyDescent="0.35">
      <c r="A10" s="5"/>
      <c r="C10" s="6"/>
      <c r="D10" s="5"/>
      <c r="E10" s="6"/>
      <c r="G10" s="5"/>
      <c r="H10" s="5"/>
      <c r="I10" s="6"/>
      <c r="J10" s="5"/>
      <c r="K10" s="6"/>
    </row>
    <row r="11" spans="1:11" x14ac:dyDescent="0.35">
      <c r="A11" s="5"/>
      <c r="C11" s="6"/>
      <c r="D11" s="5"/>
      <c r="E11" s="6"/>
      <c r="G11" s="5"/>
      <c r="H11" s="5"/>
      <c r="I11" s="6"/>
      <c r="J11" s="5"/>
      <c r="K11" s="6"/>
    </row>
    <row r="12" spans="1:11" x14ac:dyDescent="0.35">
      <c r="A12" s="5"/>
      <c r="C12" s="6"/>
      <c r="D12" s="5"/>
      <c r="E12" s="6"/>
      <c r="G12" s="5"/>
      <c r="H12" s="5"/>
      <c r="I12" s="6"/>
      <c r="J12" s="5"/>
      <c r="K12" s="6"/>
    </row>
    <row r="13" spans="1:11" x14ac:dyDescent="0.35">
      <c r="A13" s="5"/>
      <c r="C13" s="6"/>
      <c r="D13" s="5"/>
      <c r="E13" s="6"/>
      <c r="G13" s="5"/>
      <c r="H13" s="5"/>
      <c r="I13" s="6"/>
      <c r="J13" s="5"/>
      <c r="K13" s="6"/>
    </row>
    <row r="14" spans="1:11" x14ac:dyDescent="0.35">
      <c r="A14" s="5"/>
      <c r="C14" s="6"/>
      <c r="D14" s="5"/>
      <c r="E14" s="6"/>
      <c r="G14" s="5"/>
      <c r="H14" s="5"/>
      <c r="I14" s="6"/>
      <c r="J14" s="5"/>
      <c r="K14" s="6"/>
    </row>
    <row r="15" spans="1:11" x14ac:dyDescent="0.35">
      <c r="A15" s="5"/>
      <c r="C15" s="6"/>
      <c r="D15" s="5"/>
      <c r="E15" s="6"/>
      <c r="G15" s="5"/>
      <c r="H15" s="5"/>
      <c r="I15" s="6"/>
      <c r="J15" s="5"/>
      <c r="K15" s="6"/>
    </row>
    <row r="16" spans="1:11" x14ac:dyDescent="0.35">
      <c r="A16" s="5"/>
      <c r="C16" s="6"/>
      <c r="D16" s="5"/>
      <c r="E16" s="6"/>
      <c r="G16" s="5"/>
      <c r="H16" s="5"/>
      <c r="I16" s="6"/>
      <c r="J16" s="5"/>
      <c r="K16" s="6"/>
    </row>
    <row r="17" spans="1:11" x14ac:dyDescent="0.35">
      <c r="A17" s="5"/>
      <c r="B17" s="5"/>
      <c r="C17" s="6"/>
      <c r="D17" s="5"/>
      <c r="E17" s="6"/>
      <c r="G17" s="5"/>
      <c r="H17" s="5"/>
      <c r="I17" s="6"/>
      <c r="J17" s="5"/>
      <c r="K17" s="6"/>
    </row>
    <row r="18" spans="1:11" x14ac:dyDescent="0.35">
      <c r="A18" s="5"/>
      <c r="B18" s="5"/>
      <c r="C18" s="6"/>
      <c r="D18" s="5"/>
      <c r="E18" s="6"/>
      <c r="G18" s="5"/>
      <c r="H18" s="5"/>
      <c r="I18" s="6"/>
      <c r="J18" s="5"/>
      <c r="K18" s="6"/>
    </row>
    <row r="19" spans="1:11" x14ac:dyDescent="0.35">
      <c r="A19" s="5"/>
      <c r="C19" s="6"/>
      <c r="D19" s="5"/>
      <c r="E19" s="6"/>
      <c r="G19" s="5"/>
      <c r="H19" s="5"/>
      <c r="I19" s="6"/>
      <c r="J19" s="5"/>
      <c r="K19" s="6"/>
    </row>
    <row r="20" spans="1:11" x14ac:dyDescent="0.35">
      <c r="A20" s="5"/>
      <c r="C20" s="6"/>
      <c r="D20" s="5"/>
      <c r="E20" s="6"/>
      <c r="G20" s="5"/>
      <c r="H20" s="5"/>
      <c r="I20" s="6"/>
      <c r="J20" s="5"/>
      <c r="K20" s="6"/>
    </row>
    <row r="21" spans="1:11" x14ac:dyDescent="0.35">
      <c r="A21" s="5"/>
      <c r="C21" s="6"/>
      <c r="D21" s="5"/>
      <c r="E21" s="6"/>
      <c r="G21" s="5"/>
      <c r="H21" s="5"/>
      <c r="I21" s="6"/>
      <c r="J21" s="5"/>
      <c r="K21" s="6"/>
    </row>
    <row r="22" spans="1:11" x14ac:dyDescent="0.35">
      <c r="A22" s="5"/>
      <c r="C22" s="6"/>
      <c r="D22" s="5"/>
      <c r="E22" s="6"/>
      <c r="G22" s="5"/>
      <c r="H22" s="5"/>
      <c r="I22" s="6"/>
      <c r="J22" s="5"/>
      <c r="K22" s="6"/>
    </row>
    <row r="23" spans="1:11" x14ac:dyDescent="0.35">
      <c r="A23" s="5"/>
      <c r="B23" s="5"/>
      <c r="C23" s="5"/>
      <c r="D23" s="5"/>
      <c r="E23" s="5"/>
      <c r="G23" s="5"/>
      <c r="H23" s="5"/>
      <c r="I23" s="6"/>
      <c r="J23" s="5"/>
      <c r="K23" s="6"/>
    </row>
    <row r="24" spans="1:11" x14ac:dyDescent="0.35">
      <c r="A24" s="5"/>
      <c r="B24" s="5"/>
      <c r="C24" s="5"/>
      <c r="D24" s="5"/>
      <c r="E24" s="5"/>
      <c r="G24" s="5"/>
      <c r="H24" s="5"/>
      <c r="I24" s="6"/>
      <c r="J24" s="5"/>
      <c r="K24" s="6"/>
    </row>
    <row r="25" spans="1:11" x14ac:dyDescent="0.35">
      <c r="A25" s="5"/>
      <c r="B25" s="12"/>
      <c r="C25" s="6"/>
      <c r="D25" s="5"/>
      <c r="E25" s="6"/>
      <c r="G25" s="5"/>
      <c r="H25" s="5"/>
      <c r="I25" s="6"/>
      <c r="J25" s="5"/>
      <c r="K25" s="6"/>
    </row>
    <row r="26" spans="1:11" x14ac:dyDescent="0.35">
      <c r="A26" s="5"/>
      <c r="B26" s="5"/>
      <c r="C26" s="5"/>
      <c r="D26" s="5"/>
      <c r="E26" s="6"/>
      <c r="G26" s="5"/>
      <c r="H26" s="5"/>
      <c r="I26" s="6"/>
      <c r="J26" s="5"/>
      <c r="K26" s="6"/>
    </row>
    <row r="27" spans="1:11" x14ac:dyDescent="0.35">
      <c r="A27" s="5"/>
      <c r="C27" s="6"/>
      <c r="D27" s="5"/>
      <c r="E27" s="6"/>
      <c r="G27" s="5"/>
      <c r="H27" s="5"/>
      <c r="I27" s="6"/>
      <c r="J27" s="5"/>
      <c r="K27" s="6"/>
    </row>
    <row r="28" spans="1:11" x14ac:dyDescent="0.35">
      <c r="G28" s="5"/>
      <c r="H28" s="5"/>
      <c r="J28" s="5"/>
    </row>
    <row r="29" spans="1:11" x14ac:dyDescent="0.35">
      <c r="C29" s="6"/>
      <c r="E29" s="6"/>
      <c r="G29" s="5"/>
      <c r="H29" s="5"/>
      <c r="I29" s="6"/>
      <c r="J29" s="5"/>
      <c r="K29" s="6"/>
    </row>
  </sheetData>
  <mergeCells count="1">
    <mergeCell ref="F5:F8"/>
  </mergeCells>
  <pageMargins left="0.7" right="0.7" top="0.75" bottom="0.75" header="0.3" footer="0.3"/>
  <pageSetup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3:M48"/>
  <sheetViews>
    <sheetView topLeftCell="A8" workbookViewId="0">
      <selection activeCell="L32" sqref="A1:XFD1048576"/>
    </sheetView>
  </sheetViews>
  <sheetFormatPr defaultRowHeight="14.5" x14ac:dyDescent="0.35"/>
  <cols>
    <col min="1" max="1" width="13.453125" customWidth="1"/>
    <col min="2" max="2" width="13.54296875" customWidth="1"/>
    <col min="3" max="3" width="12.81640625" customWidth="1"/>
    <col min="4" max="4" width="13.453125" style="1" bestFit="1" customWidth="1"/>
    <col min="5" max="5" width="12" customWidth="1"/>
    <col min="6" max="6" width="28.81640625" customWidth="1"/>
    <col min="7" max="7" width="13.453125" bestFit="1" customWidth="1"/>
    <col min="8" max="8" width="14.81640625" customWidth="1"/>
    <col min="9" max="9" width="14.1796875" customWidth="1"/>
    <col min="10" max="10" width="14" style="1" customWidth="1"/>
    <col min="11" max="11" width="14.453125" customWidth="1"/>
    <col min="13" max="13" width="11.1796875" bestFit="1" customWidth="1"/>
  </cols>
  <sheetData>
    <row r="3" spans="1:11" x14ac:dyDescent="0.35">
      <c r="A3" s="7"/>
    </row>
    <row r="5" spans="1:11" ht="15" customHeight="1" x14ac:dyDescent="0.35">
      <c r="F5" s="51"/>
    </row>
    <row r="6" spans="1:11" ht="15" customHeight="1" x14ac:dyDescent="0.35">
      <c r="F6" s="51"/>
    </row>
    <row r="7" spans="1:11" ht="15" customHeight="1" x14ac:dyDescent="0.35">
      <c r="F7" s="51"/>
    </row>
    <row r="8" spans="1:11" x14ac:dyDescent="0.35">
      <c r="F8" s="32"/>
    </row>
    <row r="9" spans="1:11" x14ac:dyDescent="0.35">
      <c r="A9" s="1"/>
      <c r="B9" s="10"/>
      <c r="C9" s="2"/>
      <c r="E9" s="2"/>
      <c r="G9" s="1"/>
      <c r="H9" s="10"/>
      <c r="I9" s="2"/>
      <c r="J9" s="10"/>
      <c r="K9" s="2"/>
    </row>
    <row r="10" spans="1:11" x14ac:dyDescent="0.35">
      <c r="A10" s="1"/>
      <c r="B10" s="10"/>
      <c r="C10" s="2"/>
      <c r="E10" s="2"/>
      <c r="G10" s="1"/>
      <c r="H10" s="10"/>
      <c r="I10" s="2"/>
      <c r="J10" s="10"/>
      <c r="K10" s="2"/>
    </row>
    <row r="11" spans="1:11" x14ac:dyDescent="0.35">
      <c r="A11" s="3"/>
      <c r="B11" s="11"/>
      <c r="C11" s="4"/>
      <c r="D11" s="3"/>
      <c r="E11" s="4"/>
      <c r="G11" s="1"/>
      <c r="H11" s="10"/>
      <c r="I11" s="13"/>
      <c r="J11" s="10"/>
      <c r="K11" s="13"/>
    </row>
    <row r="12" spans="1:11" x14ac:dyDescent="0.35">
      <c r="A12" s="1"/>
      <c r="B12" s="1"/>
      <c r="C12" s="1"/>
      <c r="E12" s="1"/>
      <c r="G12" s="8"/>
      <c r="H12" s="8"/>
      <c r="I12" s="8"/>
      <c r="J12" s="8"/>
      <c r="K12" s="8"/>
    </row>
    <row r="13" spans="1:11" x14ac:dyDescent="0.35">
      <c r="A13" s="1"/>
      <c r="C13" s="2"/>
      <c r="E13" s="2"/>
      <c r="G13" s="1"/>
      <c r="I13" s="2"/>
      <c r="J13"/>
      <c r="K13" s="2"/>
    </row>
    <row r="14" spans="1:11" x14ac:dyDescent="0.35">
      <c r="A14" s="1"/>
      <c r="B14" s="10"/>
      <c r="C14" s="2"/>
      <c r="E14" s="2"/>
      <c r="G14" s="1"/>
      <c r="H14" s="10"/>
      <c r="I14" s="2"/>
      <c r="J14" s="10"/>
      <c r="K14" s="2"/>
    </row>
    <row r="15" spans="1:11" x14ac:dyDescent="0.35">
      <c r="A15" s="3"/>
      <c r="B15" s="11"/>
      <c r="C15" s="4"/>
      <c r="D15" s="3"/>
      <c r="E15" s="4"/>
      <c r="G15" s="1"/>
      <c r="H15" s="10"/>
      <c r="I15" s="13"/>
      <c r="J15" s="10"/>
      <c r="K15" s="13"/>
    </row>
    <row r="16" spans="1:11" x14ac:dyDescent="0.35">
      <c r="A16" s="1"/>
      <c r="B16" s="1"/>
      <c r="C16" s="1"/>
      <c r="E16" s="1"/>
      <c r="G16" s="8"/>
      <c r="H16" s="8"/>
      <c r="I16" s="8"/>
      <c r="J16" s="8"/>
      <c r="K16" s="8"/>
    </row>
    <row r="17" spans="1:13" x14ac:dyDescent="0.35">
      <c r="A17" s="1"/>
      <c r="C17" s="2"/>
      <c r="E17" s="2"/>
      <c r="G17" s="1"/>
      <c r="I17" s="2"/>
      <c r="J17"/>
      <c r="K17" s="2"/>
    </row>
    <row r="18" spans="1:13" x14ac:dyDescent="0.35">
      <c r="A18" s="1"/>
      <c r="B18" s="1"/>
      <c r="C18" s="1"/>
      <c r="E18" s="1"/>
      <c r="G18" s="1"/>
      <c r="H18" s="1"/>
      <c r="I18" s="1"/>
      <c r="K18" s="1"/>
      <c r="M18" s="2"/>
    </row>
    <row r="19" spans="1:13" x14ac:dyDescent="0.35">
      <c r="A19" s="1"/>
      <c r="C19" s="2"/>
      <c r="E19" s="2"/>
      <c r="G19" s="1"/>
      <c r="I19" s="2"/>
      <c r="J19"/>
      <c r="K19" s="2"/>
    </row>
    <row r="20" spans="1:13" x14ac:dyDescent="0.35">
      <c r="A20" s="1"/>
      <c r="C20" s="2"/>
      <c r="E20" s="2"/>
      <c r="F20" s="32"/>
      <c r="G20" s="1"/>
      <c r="I20" s="2"/>
      <c r="J20"/>
      <c r="K20" s="2"/>
    </row>
    <row r="21" spans="1:13" x14ac:dyDescent="0.35">
      <c r="A21" s="1"/>
      <c r="B21" s="10"/>
      <c r="C21" s="2"/>
      <c r="E21" s="2"/>
      <c r="G21" s="1"/>
      <c r="H21" s="10"/>
      <c r="I21" s="2"/>
      <c r="J21" s="10"/>
      <c r="K21" s="2"/>
    </row>
    <row r="22" spans="1:13" x14ac:dyDescent="0.35">
      <c r="A22" s="1"/>
      <c r="B22" s="10"/>
      <c r="C22" s="2"/>
      <c r="E22" s="2"/>
      <c r="G22" s="1"/>
      <c r="H22" s="10"/>
      <c r="I22" s="2"/>
      <c r="J22" s="10"/>
      <c r="K22" s="2"/>
    </row>
    <row r="23" spans="1:13" x14ac:dyDescent="0.35">
      <c r="A23" s="1"/>
      <c r="B23" s="10"/>
      <c r="C23" s="2"/>
      <c r="E23" s="2"/>
      <c r="G23" s="1"/>
      <c r="H23" s="10"/>
      <c r="I23" s="2"/>
      <c r="J23" s="10"/>
      <c r="K23" s="2"/>
      <c r="M23" s="1"/>
    </row>
    <row r="24" spans="1:13" x14ac:dyDescent="0.35">
      <c r="A24" s="1"/>
      <c r="B24" s="10"/>
      <c r="C24" s="2"/>
      <c r="E24" s="2"/>
      <c r="G24" s="1"/>
      <c r="H24" s="10"/>
      <c r="I24" s="2"/>
      <c r="J24" s="10"/>
      <c r="K24" s="2"/>
    </row>
    <row r="25" spans="1:13" x14ac:dyDescent="0.35">
      <c r="A25" s="1"/>
      <c r="B25" s="10"/>
      <c r="C25" s="2"/>
      <c r="E25" s="2"/>
      <c r="G25" s="1"/>
      <c r="H25" s="10"/>
      <c r="I25" s="2"/>
      <c r="J25" s="10"/>
      <c r="K25" s="2"/>
    </row>
    <row r="26" spans="1:13" x14ac:dyDescent="0.35">
      <c r="A26" s="1"/>
      <c r="B26" s="10"/>
      <c r="C26" s="2"/>
      <c r="E26" s="2"/>
      <c r="G26" s="1"/>
      <c r="H26" s="10"/>
      <c r="I26" s="2"/>
      <c r="J26" s="10"/>
      <c r="K26" s="2"/>
    </row>
    <row r="27" spans="1:13" x14ac:dyDescent="0.35">
      <c r="A27" s="1"/>
      <c r="B27" s="10"/>
      <c r="C27" s="2"/>
      <c r="E27" s="2"/>
      <c r="G27" s="1"/>
      <c r="H27" s="10"/>
      <c r="I27" s="2"/>
      <c r="J27" s="10"/>
      <c r="K27" s="2"/>
    </row>
    <row r="28" spans="1:13" x14ac:dyDescent="0.35">
      <c r="A28" s="1"/>
      <c r="B28" s="10"/>
      <c r="C28" s="2"/>
      <c r="E28" s="2"/>
      <c r="G28" s="1"/>
      <c r="H28" s="10"/>
      <c r="I28" s="2"/>
      <c r="J28" s="10"/>
      <c r="K28" s="2"/>
    </row>
    <row r="29" spans="1:13" x14ac:dyDescent="0.35">
      <c r="A29" s="1"/>
      <c r="B29" s="10"/>
      <c r="C29" s="2"/>
      <c r="E29" s="2"/>
      <c r="G29" s="1"/>
      <c r="H29" s="10"/>
      <c r="I29" s="2"/>
      <c r="J29" s="10"/>
      <c r="K29" s="2"/>
    </row>
    <row r="30" spans="1:13" x14ac:dyDescent="0.35">
      <c r="A30" s="1"/>
      <c r="B30" s="10"/>
      <c r="C30" s="2"/>
      <c r="E30" s="2"/>
      <c r="G30" s="1"/>
      <c r="H30" s="10"/>
      <c r="I30" s="2"/>
      <c r="J30" s="10"/>
      <c r="K30" s="2"/>
    </row>
    <row r="31" spans="1:13" x14ac:dyDescent="0.35">
      <c r="A31" s="1"/>
      <c r="B31" s="10"/>
      <c r="C31" s="2"/>
      <c r="E31" s="2"/>
      <c r="G31" s="1"/>
      <c r="H31" s="10"/>
      <c r="I31" s="2"/>
      <c r="J31" s="10"/>
      <c r="K31" s="2"/>
    </row>
    <row r="32" spans="1:13" x14ac:dyDescent="0.35">
      <c r="A32" s="3"/>
      <c r="B32" s="11"/>
      <c r="C32" s="4"/>
      <c r="D32" s="3"/>
      <c r="E32" s="4"/>
      <c r="G32" s="1"/>
      <c r="H32" s="10"/>
      <c r="I32" s="13"/>
      <c r="J32" s="10"/>
      <c r="K32" s="13"/>
    </row>
    <row r="33" spans="1:11" x14ac:dyDescent="0.35">
      <c r="A33" s="1"/>
      <c r="B33" s="1"/>
      <c r="C33" s="1"/>
      <c r="E33" s="1"/>
      <c r="G33" s="8"/>
      <c r="H33" s="8"/>
      <c r="I33" s="8"/>
      <c r="J33" s="8"/>
      <c r="K33" s="8"/>
    </row>
    <row r="34" spans="1:11" x14ac:dyDescent="0.35">
      <c r="A34" s="1"/>
      <c r="C34" s="2"/>
      <c r="E34" s="2"/>
      <c r="G34" s="9"/>
      <c r="I34" s="2"/>
      <c r="J34"/>
      <c r="K34" s="2"/>
    </row>
    <row r="35" spans="1:11" x14ac:dyDescent="0.35">
      <c r="A35" s="1"/>
      <c r="B35" s="1"/>
      <c r="C35" s="1"/>
      <c r="E35" s="1"/>
      <c r="G35" s="1"/>
      <c r="H35" s="1"/>
      <c r="I35" s="2"/>
      <c r="K35" s="1"/>
    </row>
    <row r="36" spans="1:11" x14ac:dyDescent="0.35">
      <c r="A36" s="1"/>
      <c r="B36" s="10"/>
      <c r="C36" s="2"/>
      <c r="E36" s="2"/>
      <c r="G36" s="9"/>
      <c r="H36" s="10"/>
      <c r="I36" s="2"/>
      <c r="J36" s="10"/>
      <c r="K36" s="2"/>
    </row>
    <row r="37" spans="1:11" x14ac:dyDescent="0.35">
      <c r="A37" s="1"/>
      <c r="B37" s="10"/>
      <c r="C37" s="2"/>
      <c r="E37" s="2"/>
      <c r="G37" s="1"/>
      <c r="H37" s="10"/>
      <c r="I37" s="2"/>
      <c r="J37" s="10"/>
      <c r="K37" s="2"/>
    </row>
    <row r="38" spans="1:11" x14ac:dyDescent="0.35">
      <c r="A38" s="3"/>
      <c r="B38" s="11"/>
      <c r="C38" s="4"/>
      <c r="D38" s="3"/>
      <c r="E38" s="4"/>
      <c r="G38" s="1"/>
      <c r="H38" s="10"/>
      <c r="I38" s="13"/>
      <c r="J38" s="10"/>
      <c r="K38" s="13"/>
    </row>
    <row r="39" spans="1:11" x14ac:dyDescent="0.35">
      <c r="A39" s="1"/>
      <c r="B39" s="1"/>
      <c r="C39" s="1"/>
      <c r="E39" s="1"/>
      <c r="G39" s="8"/>
      <c r="H39" s="8"/>
      <c r="I39" s="8"/>
      <c r="J39" s="8"/>
      <c r="K39" s="8"/>
    </row>
    <row r="40" spans="1:11" x14ac:dyDescent="0.35">
      <c r="A40" s="1"/>
      <c r="C40" s="2"/>
      <c r="E40" s="2"/>
      <c r="G40" s="9"/>
      <c r="I40" s="2"/>
      <c r="J40"/>
      <c r="K40" s="2"/>
    </row>
    <row r="41" spans="1:11" x14ac:dyDescent="0.35">
      <c r="A41" s="1"/>
      <c r="C41" s="2"/>
      <c r="E41" s="2"/>
      <c r="G41" s="9"/>
      <c r="I41" s="2"/>
      <c r="J41"/>
      <c r="K41" s="2"/>
    </row>
    <row r="42" spans="1:11" x14ac:dyDescent="0.35">
      <c r="A42" s="3"/>
      <c r="B42" s="3"/>
      <c r="C42" s="3"/>
      <c r="D42" s="3"/>
      <c r="E42" s="3"/>
      <c r="F42" s="14"/>
      <c r="G42" s="3"/>
      <c r="H42" s="19"/>
      <c r="I42" s="3"/>
      <c r="J42" s="19"/>
      <c r="K42" s="3"/>
    </row>
    <row r="43" spans="1:11" x14ac:dyDescent="0.35">
      <c r="D43"/>
      <c r="J43"/>
    </row>
    <row r="44" spans="1:11" ht="15" thickBot="1" x14ac:dyDescent="0.4">
      <c r="A44" s="9"/>
      <c r="B44" s="9"/>
      <c r="C44" s="13"/>
      <c r="D44" s="9"/>
      <c r="E44" s="13"/>
      <c r="G44" s="1"/>
      <c r="H44" s="1"/>
      <c r="I44" s="13"/>
      <c r="K44" s="13"/>
    </row>
    <row r="45" spans="1:11" ht="15" thickBot="1" x14ac:dyDescent="0.4">
      <c r="A45" s="16"/>
      <c r="B45" s="16"/>
      <c r="C45" s="17"/>
      <c r="D45" s="16"/>
      <c r="E45" s="17"/>
      <c r="F45" s="14"/>
      <c r="G45" s="16"/>
      <c r="H45" s="16"/>
      <c r="I45" s="16"/>
      <c r="J45" s="16"/>
      <c r="K45" s="16"/>
    </row>
    <row r="46" spans="1:11" ht="15" thickTop="1" x14ac:dyDescent="0.35"/>
    <row r="47" spans="1:11" x14ac:dyDescent="0.35">
      <c r="G47" s="2"/>
    </row>
    <row r="48" spans="1:11" x14ac:dyDescent="0.35">
      <c r="G48" s="2"/>
    </row>
  </sheetData>
  <mergeCells count="1">
    <mergeCell ref="F5:F7"/>
  </mergeCells>
  <pageMargins left="0.7" right="0.7" top="0.75" bottom="0.75" header="0.3" footer="0.3"/>
  <pageSetup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"/>
  <sheetViews>
    <sheetView workbookViewId="0">
      <selection sqref="A1:XFD1048576"/>
    </sheetView>
  </sheetViews>
  <sheetFormatPr defaultRowHeight="14.5" x14ac:dyDescent="0.35"/>
  <cols>
    <col min="1" max="1" width="11.54296875" customWidth="1"/>
    <col min="6" max="6" width="25" customWidth="1"/>
  </cols>
  <sheetData>
    <row r="1" spans="1:11" x14ac:dyDescent="0.35">
      <c r="A1" t="s">
        <v>47</v>
      </c>
    </row>
    <row r="2" spans="1:11" x14ac:dyDescent="0.35">
      <c r="A2" t="s">
        <v>43</v>
      </c>
    </row>
    <row r="3" spans="1:11" x14ac:dyDescent="0.35">
      <c r="A3" s="7">
        <v>43861</v>
      </c>
    </row>
    <row r="5" spans="1:11" x14ac:dyDescent="0.35">
      <c r="A5" t="s">
        <v>10</v>
      </c>
      <c r="B5" t="s">
        <v>10</v>
      </c>
      <c r="D5" s="1" t="s">
        <v>11</v>
      </c>
      <c r="G5" t="s">
        <v>10</v>
      </c>
      <c r="H5" t="s">
        <v>10</v>
      </c>
      <c r="J5" s="1" t="s">
        <v>11</v>
      </c>
    </row>
    <row r="6" spans="1:11" x14ac:dyDescent="0.35">
      <c r="A6" t="s">
        <v>6</v>
      </c>
      <c r="B6" t="s">
        <v>6</v>
      </c>
      <c r="C6" t="s">
        <v>9</v>
      </c>
      <c r="D6" s="1" t="s">
        <v>6</v>
      </c>
      <c r="E6" t="s">
        <v>9</v>
      </c>
      <c r="G6" t="s">
        <v>12</v>
      </c>
      <c r="H6" t="s">
        <v>12</v>
      </c>
      <c r="I6" t="s">
        <v>9</v>
      </c>
      <c r="J6" s="1" t="s">
        <v>12</v>
      </c>
      <c r="K6" t="s">
        <v>9</v>
      </c>
    </row>
    <row r="7" spans="1:11" x14ac:dyDescent="0.35">
      <c r="A7" t="s">
        <v>7</v>
      </c>
      <c r="B7" t="s">
        <v>8</v>
      </c>
      <c r="D7" s="1" t="s">
        <v>7</v>
      </c>
      <c r="G7" t="s">
        <v>7</v>
      </c>
      <c r="H7" t="s">
        <v>8</v>
      </c>
      <c r="J7" s="1" t="s">
        <v>7</v>
      </c>
    </row>
    <row r="8" spans="1:11" ht="15.5" x14ac:dyDescent="0.35">
      <c r="D8" s="1"/>
      <c r="F8" s="33" t="s">
        <v>44</v>
      </c>
      <c r="J8" s="1"/>
    </row>
    <row r="9" spans="1:11" x14ac:dyDescent="0.35">
      <c r="A9" s="36">
        <v>0</v>
      </c>
      <c r="B9" s="37">
        <v>0</v>
      </c>
      <c r="C9" s="37">
        <f t="shared" ref="C9:C29" si="0">+A9-B9</f>
        <v>0</v>
      </c>
      <c r="D9" s="36">
        <v>1</v>
      </c>
      <c r="E9" s="37">
        <f t="shared" ref="E9:E29" si="1">+A9-D9</f>
        <v>-1</v>
      </c>
      <c r="F9" t="s">
        <v>24</v>
      </c>
      <c r="G9" s="36">
        <f>A9</f>
        <v>0</v>
      </c>
      <c r="H9" s="37">
        <f>B9</f>
        <v>0</v>
      </c>
      <c r="I9" s="37">
        <f>+G9-H9</f>
        <v>0</v>
      </c>
      <c r="J9" s="36">
        <f>D9</f>
        <v>1</v>
      </c>
      <c r="K9" s="37">
        <f>+G9-J9</f>
        <v>-1</v>
      </c>
    </row>
    <row r="10" spans="1:11" x14ac:dyDescent="0.35">
      <c r="A10" s="36">
        <v>0</v>
      </c>
      <c r="B10" s="37">
        <v>0</v>
      </c>
      <c r="C10" s="37">
        <f t="shared" si="0"/>
        <v>0</v>
      </c>
      <c r="D10" s="36">
        <v>49</v>
      </c>
      <c r="E10" s="37">
        <f t="shared" si="1"/>
        <v>-49</v>
      </c>
      <c r="F10" t="s">
        <v>25</v>
      </c>
      <c r="G10" s="36">
        <f t="shared" ref="G10:G29" si="2">A10</f>
        <v>0</v>
      </c>
      <c r="H10" s="37">
        <f t="shared" ref="H10:H27" si="3">B10</f>
        <v>0</v>
      </c>
      <c r="I10" s="37">
        <f t="shared" ref="I10:I27" si="4">+G10-H10</f>
        <v>0</v>
      </c>
      <c r="J10" s="36">
        <f t="shared" ref="J10:J29" si="5">D10</f>
        <v>49</v>
      </c>
      <c r="K10" s="37">
        <f t="shared" ref="K10:K27" si="6">+G10-J10</f>
        <v>-49</v>
      </c>
    </row>
    <row r="11" spans="1:11" x14ac:dyDescent="0.35">
      <c r="A11" s="36">
        <v>0</v>
      </c>
      <c r="B11" s="37">
        <v>0</v>
      </c>
      <c r="C11" s="37">
        <f t="shared" si="0"/>
        <v>0</v>
      </c>
      <c r="D11" s="36">
        <v>0</v>
      </c>
      <c r="E11" s="37">
        <f t="shared" si="1"/>
        <v>0</v>
      </c>
      <c r="F11" t="s">
        <v>26</v>
      </c>
      <c r="G11" s="36">
        <f t="shared" si="2"/>
        <v>0</v>
      </c>
      <c r="H11" s="37">
        <f t="shared" si="3"/>
        <v>0</v>
      </c>
      <c r="I11" s="37">
        <f t="shared" si="4"/>
        <v>0</v>
      </c>
      <c r="J11" s="36">
        <f t="shared" si="5"/>
        <v>0</v>
      </c>
      <c r="K11" s="37">
        <f t="shared" si="6"/>
        <v>0</v>
      </c>
    </row>
    <row r="12" spans="1:11" x14ac:dyDescent="0.35">
      <c r="A12" s="36">
        <v>0</v>
      </c>
      <c r="B12" s="37">
        <v>0</v>
      </c>
      <c r="C12" s="37">
        <f t="shared" si="0"/>
        <v>0</v>
      </c>
      <c r="D12" s="36">
        <v>0</v>
      </c>
      <c r="E12" s="37">
        <f t="shared" si="1"/>
        <v>0</v>
      </c>
      <c r="F12" t="s">
        <v>27</v>
      </c>
      <c r="G12" s="36">
        <f t="shared" si="2"/>
        <v>0</v>
      </c>
      <c r="H12" s="37">
        <f t="shared" si="3"/>
        <v>0</v>
      </c>
      <c r="I12" s="37">
        <f t="shared" si="4"/>
        <v>0</v>
      </c>
      <c r="J12" s="36">
        <f t="shared" si="5"/>
        <v>0</v>
      </c>
      <c r="K12" s="37">
        <f t="shared" si="6"/>
        <v>0</v>
      </c>
    </row>
    <row r="13" spans="1:11" x14ac:dyDescent="0.35">
      <c r="A13" s="36">
        <v>0</v>
      </c>
      <c r="B13" s="37">
        <v>1</v>
      </c>
      <c r="C13" s="37">
        <f t="shared" si="0"/>
        <v>-1</v>
      </c>
      <c r="D13" s="36">
        <v>8</v>
      </c>
      <c r="E13" s="37">
        <f t="shared" si="1"/>
        <v>-8</v>
      </c>
      <c r="F13" t="s">
        <v>28</v>
      </c>
      <c r="G13" s="36">
        <f t="shared" si="2"/>
        <v>0</v>
      </c>
      <c r="H13" s="37">
        <f t="shared" si="3"/>
        <v>1</v>
      </c>
      <c r="I13" s="37">
        <f t="shared" si="4"/>
        <v>-1</v>
      </c>
      <c r="J13" s="36">
        <f t="shared" si="5"/>
        <v>8</v>
      </c>
      <c r="K13" s="37">
        <f t="shared" si="6"/>
        <v>-8</v>
      </c>
    </row>
    <row r="14" spans="1:11" x14ac:dyDescent="0.35">
      <c r="A14" s="36">
        <v>0</v>
      </c>
      <c r="B14" s="37">
        <v>30</v>
      </c>
      <c r="C14" s="37">
        <f t="shared" si="0"/>
        <v>-30</v>
      </c>
      <c r="D14" s="36">
        <v>333</v>
      </c>
      <c r="E14" s="37">
        <f t="shared" si="1"/>
        <v>-333</v>
      </c>
      <c r="F14" t="s">
        <v>29</v>
      </c>
      <c r="G14" s="36">
        <f t="shared" si="2"/>
        <v>0</v>
      </c>
      <c r="H14" s="37">
        <f t="shared" si="3"/>
        <v>30</v>
      </c>
      <c r="I14" s="37">
        <f t="shared" si="4"/>
        <v>-30</v>
      </c>
      <c r="J14" s="36">
        <f t="shared" si="5"/>
        <v>333</v>
      </c>
      <c r="K14" s="37">
        <f t="shared" si="6"/>
        <v>-333</v>
      </c>
    </row>
    <row r="15" spans="1:11" x14ac:dyDescent="0.35">
      <c r="A15" s="36">
        <v>0</v>
      </c>
      <c r="B15" s="37">
        <v>0</v>
      </c>
      <c r="C15" s="37">
        <f t="shared" si="0"/>
        <v>0</v>
      </c>
      <c r="D15" s="36">
        <v>4</v>
      </c>
      <c r="E15" s="37">
        <f t="shared" si="1"/>
        <v>-4</v>
      </c>
      <c r="F15" t="s">
        <v>30</v>
      </c>
      <c r="G15" s="36">
        <f t="shared" si="2"/>
        <v>0</v>
      </c>
      <c r="H15" s="37">
        <f t="shared" si="3"/>
        <v>0</v>
      </c>
      <c r="I15" s="37">
        <f t="shared" si="4"/>
        <v>0</v>
      </c>
      <c r="J15" s="36">
        <f t="shared" si="5"/>
        <v>4</v>
      </c>
      <c r="K15" s="37">
        <f t="shared" si="6"/>
        <v>-4</v>
      </c>
    </row>
    <row r="16" spans="1:11" x14ac:dyDescent="0.35">
      <c r="A16" s="36">
        <v>0</v>
      </c>
      <c r="B16" s="37">
        <v>0</v>
      </c>
      <c r="C16" s="37">
        <f t="shared" si="0"/>
        <v>0</v>
      </c>
      <c r="D16" s="36">
        <v>146</v>
      </c>
      <c r="E16" s="37">
        <f t="shared" si="1"/>
        <v>-146</v>
      </c>
      <c r="F16" t="s">
        <v>31</v>
      </c>
      <c r="G16" s="36">
        <f t="shared" si="2"/>
        <v>0</v>
      </c>
      <c r="H16" s="37">
        <f t="shared" si="3"/>
        <v>0</v>
      </c>
      <c r="I16" s="37">
        <f t="shared" si="4"/>
        <v>0</v>
      </c>
      <c r="J16" s="36">
        <f t="shared" si="5"/>
        <v>146</v>
      </c>
      <c r="K16" s="37">
        <f t="shared" si="6"/>
        <v>-146</v>
      </c>
    </row>
    <row r="17" spans="1:11" x14ac:dyDescent="0.35">
      <c r="A17" s="36">
        <v>0</v>
      </c>
      <c r="B17" s="36">
        <v>0</v>
      </c>
      <c r="C17" s="37">
        <f t="shared" si="0"/>
        <v>0</v>
      </c>
      <c r="D17" s="36">
        <v>0</v>
      </c>
      <c r="E17" s="37">
        <f t="shared" si="1"/>
        <v>0</v>
      </c>
      <c r="F17" t="s">
        <v>32</v>
      </c>
      <c r="G17" s="36">
        <f t="shared" si="2"/>
        <v>0</v>
      </c>
      <c r="H17" s="36">
        <v>0</v>
      </c>
      <c r="I17" s="37">
        <f t="shared" si="4"/>
        <v>0</v>
      </c>
      <c r="J17" s="36">
        <f t="shared" si="5"/>
        <v>0</v>
      </c>
      <c r="K17" s="37">
        <f t="shared" si="6"/>
        <v>0</v>
      </c>
    </row>
    <row r="18" spans="1:11" x14ac:dyDescent="0.35">
      <c r="A18" s="36">
        <v>0</v>
      </c>
      <c r="B18" s="36">
        <v>0</v>
      </c>
      <c r="C18" s="37">
        <f t="shared" si="0"/>
        <v>0</v>
      </c>
      <c r="D18" s="36">
        <v>0</v>
      </c>
      <c r="E18" s="37">
        <f t="shared" si="1"/>
        <v>0</v>
      </c>
      <c r="F18" t="s">
        <v>33</v>
      </c>
      <c r="G18" s="36">
        <f t="shared" si="2"/>
        <v>0</v>
      </c>
      <c r="H18" s="36">
        <v>0</v>
      </c>
      <c r="I18" s="37">
        <f t="shared" si="4"/>
        <v>0</v>
      </c>
      <c r="J18" s="36">
        <f t="shared" si="5"/>
        <v>0</v>
      </c>
      <c r="K18" s="37">
        <f t="shared" si="6"/>
        <v>0</v>
      </c>
    </row>
    <row r="19" spans="1:11" x14ac:dyDescent="0.35">
      <c r="A19" s="36">
        <v>0</v>
      </c>
      <c r="B19" s="36">
        <v>0</v>
      </c>
      <c r="C19" s="37">
        <f t="shared" si="0"/>
        <v>0</v>
      </c>
      <c r="D19" s="36">
        <v>1</v>
      </c>
      <c r="E19" s="37">
        <f t="shared" si="1"/>
        <v>-1</v>
      </c>
      <c r="F19" t="s">
        <v>34</v>
      </c>
      <c r="G19" s="36">
        <f t="shared" si="2"/>
        <v>0</v>
      </c>
      <c r="H19" s="37">
        <f t="shared" si="3"/>
        <v>0</v>
      </c>
      <c r="I19" s="37">
        <f t="shared" si="4"/>
        <v>0</v>
      </c>
      <c r="J19" s="36">
        <f t="shared" si="5"/>
        <v>1</v>
      </c>
      <c r="K19" s="37">
        <f t="shared" si="6"/>
        <v>-1</v>
      </c>
    </row>
    <row r="20" spans="1:11" x14ac:dyDescent="0.35">
      <c r="A20" s="36">
        <v>0</v>
      </c>
      <c r="B20" s="36">
        <v>0</v>
      </c>
      <c r="C20" s="37">
        <f t="shared" si="0"/>
        <v>0</v>
      </c>
      <c r="D20" s="36">
        <v>21</v>
      </c>
      <c r="E20" s="37">
        <f t="shared" si="1"/>
        <v>-21</v>
      </c>
      <c r="F20" t="s">
        <v>35</v>
      </c>
      <c r="G20" s="36">
        <f t="shared" si="2"/>
        <v>0</v>
      </c>
      <c r="H20" s="37">
        <f t="shared" si="3"/>
        <v>0</v>
      </c>
      <c r="I20" s="37">
        <f t="shared" si="4"/>
        <v>0</v>
      </c>
      <c r="J20" s="36">
        <f t="shared" si="5"/>
        <v>21</v>
      </c>
      <c r="K20" s="37">
        <f t="shared" si="6"/>
        <v>-21</v>
      </c>
    </row>
    <row r="21" spans="1:11" x14ac:dyDescent="0.35">
      <c r="A21" s="36">
        <v>0</v>
      </c>
      <c r="B21" s="36">
        <v>0</v>
      </c>
      <c r="C21" s="37">
        <f t="shared" si="0"/>
        <v>0</v>
      </c>
      <c r="D21" s="36">
        <v>1</v>
      </c>
      <c r="E21" s="37">
        <f t="shared" si="1"/>
        <v>-1</v>
      </c>
      <c r="F21" t="s">
        <v>36</v>
      </c>
      <c r="G21" s="36">
        <f t="shared" si="2"/>
        <v>0</v>
      </c>
      <c r="H21" s="37">
        <f t="shared" si="3"/>
        <v>0</v>
      </c>
      <c r="I21" s="37">
        <f t="shared" si="4"/>
        <v>0</v>
      </c>
      <c r="J21" s="36">
        <f t="shared" si="5"/>
        <v>1</v>
      </c>
      <c r="K21" s="37">
        <f t="shared" si="6"/>
        <v>-1</v>
      </c>
    </row>
    <row r="22" spans="1:11" x14ac:dyDescent="0.35">
      <c r="A22" s="36">
        <v>0</v>
      </c>
      <c r="B22" s="36">
        <v>0</v>
      </c>
      <c r="C22" s="37">
        <f t="shared" si="0"/>
        <v>0</v>
      </c>
      <c r="D22" s="36">
        <v>39</v>
      </c>
      <c r="E22" s="37">
        <f t="shared" si="1"/>
        <v>-39</v>
      </c>
      <c r="F22" t="s">
        <v>37</v>
      </c>
      <c r="G22" s="36">
        <f t="shared" si="2"/>
        <v>0</v>
      </c>
      <c r="H22" s="37">
        <f t="shared" si="3"/>
        <v>0</v>
      </c>
      <c r="I22" s="37">
        <f t="shared" si="4"/>
        <v>0</v>
      </c>
      <c r="J22" s="36">
        <f t="shared" si="5"/>
        <v>39</v>
      </c>
      <c r="K22" s="37">
        <f t="shared" si="6"/>
        <v>-39</v>
      </c>
    </row>
    <row r="23" spans="1:11" x14ac:dyDescent="0.35">
      <c r="A23" s="36">
        <f>A9+A11+A13+A15+A17+A21</f>
        <v>0</v>
      </c>
      <c r="B23" s="36">
        <f t="shared" ref="B23:E23" si="7">B9+B11+B13+B15+B17+B21</f>
        <v>1</v>
      </c>
      <c r="C23" s="36">
        <f t="shared" si="7"/>
        <v>-1</v>
      </c>
      <c r="D23" s="36">
        <f>D9+D11+D13+D15+D17+D21</f>
        <v>14</v>
      </c>
      <c r="E23" s="36">
        <f t="shared" si="7"/>
        <v>-14</v>
      </c>
      <c r="F23" t="s">
        <v>40</v>
      </c>
      <c r="G23" s="36">
        <f t="shared" si="2"/>
        <v>0</v>
      </c>
      <c r="H23" s="37">
        <f t="shared" si="3"/>
        <v>1</v>
      </c>
      <c r="I23" s="37">
        <f t="shared" si="4"/>
        <v>-1</v>
      </c>
      <c r="J23" s="36">
        <f t="shared" si="5"/>
        <v>14</v>
      </c>
      <c r="K23" s="37">
        <f t="shared" si="6"/>
        <v>-14</v>
      </c>
    </row>
    <row r="24" spans="1:11" x14ac:dyDescent="0.35">
      <c r="A24" s="36">
        <f>A10+A12+A14+A16+A18+A22</f>
        <v>0</v>
      </c>
      <c r="B24" s="36">
        <f t="shared" ref="B24:E24" si="8">B10+B12+B14+B16+B18+B22</f>
        <v>30</v>
      </c>
      <c r="C24" s="36">
        <f t="shared" si="8"/>
        <v>-30</v>
      </c>
      <c r="D24" s="36">
        <f>D10+D12+D14+D16+D18+D22</f>
        <v>567</v>
      </c>
      <c r="E24" s="36">
        <f t="shared" si="8"/>
        <v>-567</v>
      </c>
      <c r="F24" t="s">
        <v>41</v>
      </c>
      <c r="G24" s="36">
        <f t="shared" si="2"/>
        <v>0</v>
      </c>
      <c r="H24" s="37">
        <f t="shared" si="3"/>
        <v>30</v>
      </c>
      <c r="I24" s="37">
        <f t="shared" si="4"/>
        <v>-30</v>
      </c>
      <c r="J24" s="36">
        <f t="shared" si="5"/>
        <v>567</v>
      </c>
      <c r="K24" s="37">
        <f t="shared" si="6"/>
        <v>-567</v>
      </c>
    </row>
    <row r="25" spans="1:11" x14ac:dyDescent="0.35">
      <c r="A25" s="36">
        <v>0</v>
      </c>
      <c r="B25" s="36">
        <v>50</v>
      </c>
      <c r="C25" s="37">
        <f t="shared" si="0"/>
        <v>-50</v>
      </c>
      <c r="D25" s="36">
        <v>592</v>
      </c>
      <c r="E25" s="37">
        <f t="shared" si="1"/>
        <v>-592</v>
      </c>
      <c r="F25" t="s">
        <v>39</v>
      </c>
      <c r="G25" s="36">
        <f t="shared" si="2"/>
        <v>0</v>
      </c>
      <c r="H25" s="37">
        <f t="shared" si="3"/>
        <v>50</v>
      </c>
      <c r="I25" s="37">
        <f t="shared" si="4"/>
        <v>-50</v>
      </c>
      <c r="J25" s="36">
        <f t="shared" si="5"/>
        <v>592</v>
      </c>
      <c r="K25" s="37">
        <f t="shared" si="6"/>
        <v>-592</v>
      </c>
    </row>
    <row r="26" spans="1:11" x14ac:dyDescent="0.35">
      <c r="A26" s="36">
        <f>A24+A25</f>
        <v>0</v>
      </c>
      <c r="B26" s="36">
        <f t="shared" ref="B26:E26" si="9">B24+B25</f>
        <v>80</v>
      </c>
      <c r="C26" s="36">
        <f t="shared" si="9"/>
        <v>-80</v>
      </c>
      <c r="D26" s="36">
        <f>D24+D25</f>
        <v>1159</v>
      </c>
      <c r="E26" s="36">
        <f t="shared" si="9"/>
        <v>-1159</v>
      </c>
      <c r="F26" t="s">
        <v>42</v>
      </c>
      <c r="G26" s="36">
        <f t="shared" si="2"/>
        <v>0</v>
      </c>
      <c r="H26" s="37">
        <f t="shared" si="3"/>
        <v>80</v>
      </c>
      <c r="I26" s="37">
        <f t="shared" si="4"/>
        <v>-80</v>
      </c>
      <c r="J26" s="36">
        <f t="shared" si="5"/>
        <v>1159</v>
      </c>
      <c r="K26" s="37">
        <f t="shared" si="6"/>
        <v>-1159</v>
      </c>
    </row>
    <row r="27" spans="1:11" x14ac:dyDescent="0.35">
      <c r="A27" s="36">
        <v>1</v>
      </c>
      <c r="B27" s="37">
        <v>1</v>
      </c>
      <c r="C27" s="37">
        <f t="shared" si="0"/>
        <v>0</v>
      </c>
      <c r="D27" s="36">
        <v>2</v>
      </c>
      <c r="E27" s="37">
        <f t="shared" si="1"/>
        <v>-1</v>
      </c>
      <c r="F27" t="s">
        <v>38</v>
      </c>
      <c r="G27" s="36">
        <f t="shared" si="2"/>
        <v>1</v>
      </c>
      <c r="H27" s="37">
        <f t="shared" si="3"/>
        <v>1</v>
      </c>
      <c r="I27" s="37">
        <f t="shared" si="4"/>
        <v>0</v>
      </c>
      <c r="J27" s="36">
        <f t="shared" si="5"/>
        <v>2</v>
      </c>
      <c r="K27" s="37">
        <f t="shared" si="6"/>
        <v>-1</v>
      </c>
    </row>
    <row r="28" spans="1:11" x14ac:dyDescent="0.35">
      <c r="G28" s="36"/>
      <c r="H28" s="37"/>
      <c r="I28" s="37"/>
      <c r="J28" s="36"/>
      <c r="K28" s="37"/>
    </row>
    <row r="29" spans="1:11" x14ac:dyDescent="0.35">
      <c r="A29">
        <f>1567+1487</f>
        <v>3054</v>
      </c>
      <c r="B29">
        <v>3800</v>
      </c>
      <c r="C29" s="6">
        <f t="shared" si="0"/>
        <v>-746</v>
      </c>
      <c r="D29">
        <f>2911+3132+120</f>
        <v>6163</v>
      </c>
      <c r="E29" s="6">
        <f t="shared" si="1"/>
        <v>-3109</v>
      </c>
      <c r="F29" t="s">
        <v>45</v>
      </c>
      <c r="G29" s="5">
        <f t="shared" si="2"/>
        <v>3054</v>
      </c>
      <c r="H29">
        <f>B29</f>
        <v>3800</v>
      </c>
      <c r="I29" s="6">
        <f t="shared" ref="I29" si="10">+G29-H29</f>
        <v>-746</v>
      </c>
      <c r="J29" s="5">
        <f t="shared" si="5"/>
        <v>6163</v>
      </c>
      <c r="K29" s="6">
        <f t="shared" ref="K29" si="11">+G29-J29</f>
        <v>-3109</v>
      </c>
    </row>
  </sheetData>
  <pageMargins left="0.7" right="0.7" top="0.75" bottom="0.75" header="0.3" footer="0.3"/>
  <pageSetup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3:K29"/>
  <sheetViews>
    <sheetView workbookViewId="0">
      <selection activeCell="R26" sqref="A1:XFD1048576"/>
    </sheetView>
  </sheetViews>
  <sheetFormatPr defaultRowHeight="14.5" x14ac:dyDescent="0.35"/>
  <cols>
    <col min="1" max="1" width="11.54296875" customWidth="1"/>
    <col min="2" max="2" width="9.54296875" bestFit="1" customWidth="1"/>
    <col min="6" max="6" width="25" customWidth="1"/>
  </cols>
  <sheetData>
    <row r="3" spans="1:11" x14ac:dyDescent="0.35">
      <c r="A3" s="29"/>
    </row>
    <row r="5" spans="1:11" x14ac:dyDescent="0.35">
      <c r="D5" s="1"/>
      <c r="F5" s="51"/>
      <c r="J5" s="1"/>
    </row>
    <row r="6" spans="1:11" x14ac:dyDescent="0.35">
      <c r="D6" s="1"/>
      <c r="F6" s="51"/>
      <c r="J6" s="1"/>
    </row>
    <row r="7" spans="1:11" x14ac:dyDescent="0.35">
      <c r="D7" s="1"/>
      <c r="F7" s="51"/>
      <c r="J7" s="1"/>
    </row>
    <row r="8" spans="1:11" x14ac:dyDescent="0.35">
      <c r="D8" s="1"/>
      <c r="J8" s="1"/>
    </row>
    <row r="9" spans="1:11" x14ac:dyDescent="0.35">
      <c r="A9" s="5"/>
      <c r="C9" s="6"/>
      <c r="D9" s="5"/>
      <c r="E9" s="6"/>
      <c r="G9" s="5"/>
      <c r="H9" s="5"/>
      <c r="I9" s="6"/>
      <c r="J9" s="5"/>
      <c r="K9" s="6"/>
    </row>
    <row r="10" spans="1:11" x14ac:dyDescent="0.35">
      <c r="A10" s="5"/>
      <c r="C10" s="6"/>
      <c r="D10" s="5"/>
      <c r="E10" s="6"/>
      <c r="G10" s="5"/>
      <c r="H10" s="5"/>
      <c r="I10" s="6"/>
      <c r="J10" s="5"/>
      <c r="K10" s="6"/>
    </row>
    <row r="11" spans="1:11" x14ac:dyDescent="0.35">
      <c r="A11" s="5"/>
      <c r="C11" s="6"/>
      <c r="D11" s="5"/>
      <c r="E11" s="6"/>
      <c r="G11" s="5"/>
      <c r="H11" s="5"/>
      <c r="I11" s="6"/>
      <c r="J11" s="5"/>
      <c r="K11" s="6"/>
    </row>
    <row r="12" spans="1:11" x14ac:dyDescent="0.35">
      <c r="A12" s="5"/>
      <c r="C12" s="6"/>
      <c r="D12" s="5"/>
      <c r="E12" s="6"/>
      <c r="G12" s="5"/>
      <c r="H12" s="5"/>
      <c r="I12" s="6"/>
      <c r="J12" s="5"/>
      <c r="K12" s="6"/>
    </row>
    <row r="13" spans="1:11" x14ac:dyDescent="0.35">
      <c r="A13" s="5"/>
      <c r="C13" s="6"/>
      <c r="D13" s="5"/>
      <c r="E13" s="6"/>
      <c r="G13" s="5"/>
      <c r="H13" s="5"/>
      <c r="I13" s="6"/>
      <c r="J13" s="5"/>
      <c r="K13" s="6"/>
    </row>
    <row r="14" spans="1:11" x14ac:dyDescent="0.35">
      <c r="A14" s="5"/>
      <c r="C14" s="6"/>
      <c r="D14" s="5"/>
      <c r="E14" s="6"/>
      <c r="G14" s="5"/>
      <c r="H14" s="5"/>
      <c r="I14" s="6"/>
      <c r="J14" s="5"/>
      <c r="K14" s="6"/>
    </row>
    <row r="15" spans="1:11" x14ac:dyDescent="0.35">
      <c r="A15" s="5"/>
      <c r="B15" s="5"/>
      <c r="C15" s="6"/>
      <c r="D15" s="5"/>
      <c r="E15" s="6"/>
      <c r="G15" s="5"/>
      <c r="H15" s="5"/>
      <c r="I15" s="6"/>
      <c r="J15" s="5"/>
      <c r="K15" s="6"/>
    </row>
    <row r="16" spans="1:11" x14ac:dyDescent="0.35">
      <c r="A16" s="5"/>
      <c r="B16" s="5"/>
      <c r="C16" s="6"/>
      <c r="D16" s="5"/>
      <c r="E16" s="6"/>
      <c r="G16" s="5"/>
      <c r="H16" s="5"/>
      <c r="I16" s="6"/>
      <c r="J16" s="5"/>
      <c r="K16" s="6"/>
    </row>
    <row r="17" spans="1:11" x14ac:dyDescent="0.35">
      <c r="A17" s="5"/>
      <c r="B17" s="5"/>
      <c r="C17" s="6"/>
      <c r="D17" s="5"/>
      <c r="E17" s="6"/>
      <c r="G17" s="5"/>
      <c r="H17" s="5"/>
      <c r="I17" s="6"/>
      <c r="J17" s="5"/>
      <c r="K17" s="6"/>
    </row>
    <row r="18" spans="1:11" x14ac:dyDescent="0.35">
      <c r="A18" s="5"/>
      <c r="B18" s="5"/>
      <c r="C18" s="6"/>
      <c r="D18" s="5"/>
      <c r="E18" s="6"/>
      <c r="G18" s="5"/>
      <c r="H18" s="5"/>
      <c r="I18" s="6"/>
      <c r="J18" s="5"/>
      <c r="K18" s="6"/>
    </row>
    <row r="19" spans="1:11" x14ac:dyDescent="0.35">
      <c r="A19" s="5"/>
      <c r="B19" s="5"/>
      <c r="C19" s="6"/>
      <c r="D19" s="5"/>
      <c r="E19" s="6"/>
      <c r="G19" s="5"/>
      <c r="H19" s="5"/>
      <c r="I19" s="6"/>
      <c r="J19" s="5"/>
      <c r="K19" s="6"/>
    </row>
    <row r="20" spans="1:11" x14ac:dyDescent="0.35">
      <c r="A20" s="5"/>
      <c r="B20" s="5"/>
      <c r="C20" s="6"/>
      <c r="D20" s="5"/>
      <c r="E20" s="6"/>
      <c r="G20" s="5"/>
      <c r="H20" s="5"/>
      <c r="I20" s="6"/>
      <c r="J20" s="5"/>
      <c r="K20" s="6"/>
    </row>
    <row r="21" spans="1:11" x14ac:dyDescent="0.35">
      <c r="A21" s="5"/>
      <c r="B21" s="5"/>
      <c r="C21" s="6"/>
      <c r="D21" s="5"/>
      <c r="E21" s="6"/>
      <c r="G21" s="5"/>
      <c r="H21" s="5"/>
      <c r="I21" s="6"/>
      <c r="J21" s="5"/>
      <c r="K21" s="6"/>
    </row>
    <row r="22" spans="1:11" x14ac:dyDescent="0.35">
      <c r="A22" s="5"/>
      <c r="B22" s="5"/>
      <c r="C22" s="6"/>
      <c r="D22" s="5"/>
      <c r="E22" s="6"/>
      <c r="G22" s="5"/>
      <c r="H22" s="5"/>
      <c r="I22" s="6"/>
      <c r="J22" s="5"/>
      <c r="K22" s="6"/>
    </row>
    <row r="23" spans="1:11" x14ac:dyDescent="0.35">
      <c r="A23" s="5"/>
      <c r="B23" s="5"/>
      <c r="C23" s="5"/>
      <c r="D23" s="5"/>
      <c r="E23" s="5"/>
      <c r="G23" s="5"/>
      <c r="H23" s="5"/>
      <c r="I23" s="6"/>
      <c r="J23" s="5"/>
      <c r="K23" s="6"/>
    </row>
    <row r="24" spans="1:11" x14ac:dyDescent="0.35">
      <c r="A24" s="5"/>
      <c r="B24" s="5"/>
      <c r="C24" s="5"/>
      <c r="D24" s="5"/>
      <c r="E24" s="5"/>
      <c r="G24" s="5"/>
      <c r="H24" s="5"/>
      <c r="I24" s="6"/>
      <c r="J24" s="5"/>
      <c r="K24" s="6"/>
    </row>
    <row r="25" spans="1:11" x14ac:dyDescent="0.35">
      <c r="A25" s="5"/>
      <c r="B25" s="12"/>
      <c r="C25" s="6"/>
      <c r="D25" s="5"/>
      <c r="E25" s="6"/>
      <c r="G25" s="5"/>
      <c r="H25" s="5"/>
      <c r="I25" s="6"/>
      <c r="J25" s="5"/>
      <c r="K25" s="6"/>
    </row>
    <row r="26" spans="1:11" x14ac:dyDescent="0.35">
      <c r="A26" s="5"/>
      <c r="B26" s="5"/>
      <c r="C26" s="5"/>
      <c r="D26" s="5"/>
      <c r="E26" s="6"/>
      <c r="G26" s="5"/>
      <c r="H26" s="5"/>
      <c r="I26" s="6"/>
      <c r="J26" s="5"/>
      <c r="K26" s="6"/>
    </row>
    <row r="27" spans="1:11" x14ac:dyDescent="0.35">
      <c r="A27" s="5"/>
      <c r="C27" s="6"/>
      <c r="D27" s="5"/>
      <c r="E27" s="6"/>
      <c r="G27" s="5"/>
      <c r="H27" s="5"/>
      <c r="I27" s="6"/>
      <c r="J27" s="5"/>
      <c r="K27" s="6"/>
    </row>
    <row r="28" spans="1:11" x14ac:dyDescent="0.35">
      <c r="G28" s="5"/>
      <c r="H28" s="5"/>
      <c r="J28" s="5"/>
    </row>
    <row r="29" spans="1:11" x14ac:dyDescent="0.35">
      <c r="C29" s="6"/>
      <c r="E29" s="6"/>
      <c r="G29" s="5"/>
      <c r="H29" s="5"/>
      <c r="I29" s="6"/>
      <c r="J29" s="5"/>
      <c r="K29" s="6"/>
    </row>
  </sheetData>
  <mergeCells count="1">
    <mergeCell ref="F5:F7"/>
  </mergeCells>
  <pageMargins left="0.7" right="0.7" top="0.75" bottom="0.75" header="0.3" footer="0.3"/>
  <pageSetup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3:K48"/>
  <sheetViews>
    <sheetView topLeftCell="A7" workbookViewId="0">
      <selection activeCell="L35" sqref="A1:XFD1048576"/>
    </sheetView>
  </sheetViews>
  <sheetFormatPr defaultRowHeight="14.5" x14ac:dyDescent="0.35"/>
  <cols>
    <col min="1" max="1" width="13.453125" customWidth="1"/>
    <col min="2" max="2" width="13.54296875" customWidth="1"/>
    <col min="3" max="3" width="12.81640625" customWidth="1"/>
    <col min="4" max="4" width="13.453125" style="1" bestFit="1" customWidth="1"/>
    <col min="5" max="5" width="12" customWidth="1"/>
    <col min="6" max="6" width="28.81640625" customWidth="1"/>
    <col min="7" max="7" width="13.453125" bestFit="1" customWidth="1"/>
    <col min="8" max="8" width="14.81640625" customWidth="1"/>
    <col min="9" max="9" width="14.1796875" customWidth="1"/>
    <col min="10" max="10" width="14.81640625" style="1" customWidth="1"/>
    <col min="11" max="11" width="14.453125" customWidth="1"/>
  </cols>
  <sheetData>
    <row r="3" spans="1:11" x14ac:dyDescent="0.35">
      <c r="A3" s="7"/>
    </row>
    <row r="5" spans="1:11" ht="15" customHeight="1" x14ac:dyDescent="0.35">
      <c r="F5" s="53"/>
    </row>
    <row r="6" spans="1:11" ht="15" customHeight="1" x14ac:dyDescent="0.35">
      <c r="F6" s="53"/>
    </row>
    <row r="8" spans="1:11" x14ac:dyDescent="0.35">
      <c r="F8" s="32"/>
    </row>
    <row r="9" spans="1:11" x14ac:dyDescent="0.35">
      <c r="A9" s="1"/>
      <c r="B9" s="10"/>
      <c r="C9" s="2"/>
      <c r="E9" s="2"/>
      <c r="G9" s="1"/>
      <c r="H9" s="1"/>
      <c r="I9" s="2"/>
      <c r="K9" s="2"/>
    </row>
    <row r="10" spans="1:11" x14ac:dyDescent="0.35">
      <c r="A10" s="1"/>
      <c r="B10" s="10"/>
      <c r="C10" s="2"/>
      <c r="E10" s="2"/>
      <c r="G10" s="1"/>
      <c r="H10" s="1"/>
      <c r="I10" s="2"/>
      <c r="K10" s="2"/>
    </row>
    <row r="11" spans="1:11" x14ac:dyDescent="0.35">
      <c r="A11" s="3"/>
      <c r="B11" s="11"/>
      <c r="C11" s="4"/>
      <c r="D11" s="3"/>
      <c r="E11" s="4"/>
      <c r="G11" s="1"/>
      <c r="H11" s="1"/>
      <c r="I11" s="2"/>
      <c r="K11" s="2"/>
    </row>
    <row r="12" spans="1:11" x14ac:dyDescent="0.35">
      <c r="A12" s="1"/>
      <c r="B12" s="1"/>
      <c r="C12" s="1"/>
      <c r="E12" s="1"/>
      <c r="G12" s="8"/>
      <c r="H12" s="8"/>
      <c r="I12" s="8"/>
      <c r="J12" s="8"/>
      <c r="K12" s="8"/>
    </row>
    <row r="13" spans="1:11" x14ac:dyDescent="0.35">
      <c r="A13" s="1"/>
      <c r="C13" s="2"/>
      <c r="E13" s="2"/>
      <c r="G13" s="1"/>
      <c r="I13" s="2"/>
      <c r="J13"/>
      <c r="K13" s="2"/>
    </row>
    <row r="14" spans="1:11" x14ac:dyDescent="0.35">
      <c r="A14" s="1"/>
      <c r="B14" s="10"/>
      <c r="C14" s="2"/>
      <c r="E14" s="2"/>
      <c r="G14" s="1"/>
      <c r="H14" s="1"/>
      <c r="I14" s="2"/>
      <c r="K14" s="2"/>
    </row>
    <row r="15" spans="1:11" x14ac:dyDescent="0.35">
      <c r="A15" s="3"/>
      <c r="B15" s="11"/>
      <c r="C15" s="4"/>
      <c r="D15" s="3"/>
      <c r="E15" s="4"/>
      <c r="G15" s="1"/>
      <c r="H15" s="1"/>
      <c r="I15" s="13"/>
      <c r="K15" s="13"/>
    </row>
    <row r="16" spans="1:11" x14ac:dyDescent="0.35">
      <c r="A16" s="1"/>
      <c r="B16" s="1"/>
      <c r="C16" s="1"/>
      <c r="E16" s="1"/>
      <c r="G16" s="8"/>
      <c r="H16" s="8"/>
      <c r="I16" s="8"/>
      <c r="J16" s="8"/>
      <c r="K16" s="8"/>
    </row>
    <row r="17" spans="1:11" x14ac:dyDescent="0.35">
      <c r="A17" s="1"/>
      <c r="C17" s="2"/>
      <c r="E17" s="2"/>
      <c r="G17" s="1"/>
      <c r="I17" s="2"/>
      <c r="J17"/>
      <c r="K17" s="2"/>
    </row>
    <row r="18" spans="1:11" x14ac:dyDescent="0.35">
      <c r="A18" s="1"/>
      <c r="B18" s="1"/>
      <c r="C18" s="1"/>
      <c r="E18" s="1"/>
      <c r="G18" s="1"/>
      <c r="H18" s="1"/>
      <c r="I18" s="1"/>
      <c r="K18" s="1"/>
    </row>
    <row r="19" spans="1:11" x14ac:dyDescent="0.35">
      <c r="A19" s="1"/>
      <c r="C19" s="2"/>
      <c r="E19" s="2"/>
      <c r="G19" s="1"/>
      <c r="I19" s="2"/>
      <c r="J19"/>
      <c r="K19" s="2"/>
    </row>
    <row r="20" spans="1:11" x14ac:dyDescent="0.35">
      <c r="A20" s="1"/>
      <c r="C20" s="2"/>
      <c r="E20" s="2"/>
      <c r="F20" s="32"/>
      <c r="G20" s="1"/>
      <c r="I20" s="2"/>
      <c r="J20"/>
      <c r="K20" s="2"/>
    </row>
    <row r="21" spans="1:11" x14ac:dyDescent="0.35">
      <c r="A21" s="1"/>
      <c r="B21" s="10"/>
      <c r="C21" s="2"/>
      <c r="E21" s="2"/>
      <c r="G21" s="1"/>
      <c r="H21" s="1"/>
      <c r="I21" s="2"/>
      <c r="K21" s="2"/>
    </row>
    <row r="22" spans="1:11" x14ac:dyDescent="0.35">
      <c r="A22" s="1"/>
      <c r="B22" s="10"/>
      <c r="C22" s="2"/>
      <c r="E22" s="2"/>
      <c r="G22" s="1"/>
      <c r="H22" s="1"/>
      <c r="I22" s="2"/>
      <c r="K22" s="2"/>
    </row>
    <row r="23" spans="1:11" x14ac:dyDescent="0.35">
      <c r="A23" s="1"/>
      <c r="B23" s="10"/>
      <c r="C23" s="2"/>
      <c r="E23" s="2"/>
      <c r="G23" s="1"/>
      <c r="H23" s="1"/>
      <c r="I23" s="2"/>
      <c r="K23" s="2"/>
    </row>
    <row r="24" spans="1:11" x14ac:dyDescent="0.35">
      <c r="A24" s="1"/>
      <c r="B24" s="10"/>
      <c r="C24" s="2"/>
      <c r="E24" s="2"/>
      <c r="G24" s="1"/>
      <c r="H24" s="1"/>
      <c r="I24" s="2"/>
      <c r="K24" s="2"/>
    </row>
    <row r="25" spans="1:11" x14ac:dyDescent="0.35">
      <c r="A25" s="1"/>
      <c r="B25" s="10"/>
      <c r="C25" s="2"/>
      <c r="E25" s="2"/>
      <c r="G25" s="1"/>
      <c r="H25" s="1"/>
      <c r="I25" s="2"/>
      <c r="K25" s="2"/>
    </row>
    <row r="26" spans="1:11" x14ac:dyDescent="0.35">
      <c r="A26" s="1"/>
      <c r="B26" s="10"/>
      <c r="C26" s="2"/>
      <c r="E26" s="2"/>
      <c r="G26" s="1"/>
      <c r="H26" s="1"/>
      <c r="I26" s="2"/>
      <c r="K26" s="2"/>
    </row>
    <row r="27" spans="1:11" x14ac:dyDescent="0.35">
      <c r="A27" s="1"/>
      <c r="B27" s="10"/>
      <c r="C27" s="2"/>
      <c r="E27" s="2"/>
      <c r="G27" s="1"/>
      <c r="H27" s="1"/>
      <c r="I27" s="2"/>
      <c r="K27" s="2"/>
    </row>
    <row r="28" spans="1:11" x14ac:dyDescent="0.35">
      <c r="A28" s="1"/>
      <c r="B28" s="10"/>
      <c r="C28" s="2"/>
      <c r="E28" s="2"/>
      <c r="G28" s="1"/>
      <c r="H28" s="1"/>
      <c r="I28" s="2"/>
      <c r="K28" s="2"/>
    </row>
    <row r="29" spans="1:11" x14ac:dyDescent="0.35">
      <c r="A29" s="1"/>
      <c r="B29" s="10"/>
      <c r="C29" s="2"/>
      <c r="E29" s="2"/>
      <c r="G29" s="1"/>
      <c r="H29" s="1"/>
      <c r="I29" s="2"/>
      <c r="K29" s="2"/>
    </row>
    <row r="30" spans="1:11" x14ac:dyDescent="0.35">
      <c r="A30" s="1"/>
      <c r="B30" s="10"/>
      <c r="C30" s="2"/>
      <c r="E30" s="2"/>
      <c r="G30" s="1"/>
      <c r="H30" s="1"/>
      <c r="I30" s="2"/>
      <c r="K30" s="2"/>
    </row>
    <row r="31" spans="1:11" x14ac:dyDescent="0.35">
      <c r="A31" s="1"/>
      <c r="B31" s="10"/>
      <c r="C31" s="2"/>
      <c r="E31" s="2"/>
      <c r="G31" s="1"/>
      <c r="H31" s="1"/>
      <c r="I31" s="2"/>
      <c r="K31" s="2"/>
    </row>
    <row r="32" spans="1:11" x14ac:dyDescent="0.35">
      <c r="A32" s="3"/>
      <c r="B32" s="11"/>
      <c r="C32" s="4"/>
      <c r="D32" s="3"/>
      <c r="E32" s="4"/>
      <c r="G32" s="1"/>
      <c r="H32" s="1"/>
      <c r="I32" s="13"/>
      <c r="K32" s="13"/>
    </row>
    <row r="33" spans="1:11" x14ac:dyDescent="0.35">
      <c r="A33" s="1"/>
      <c r="B33" s="1"/>
      <c r="C33" s="1"/>
      <c r="E33" s="1"/>
      <c r="G33" s="8"/>
      <c r="H33" s="8"/>
      <c r="I33" s="8"/>
      <c r="J33" s="8"/>
      <c r="K33" s="8"/>
    </row>
    <row r="34" spans="1:11" x14ac:dyDescent="0.35">
      <c r="A34" s="1"/>
      <c r="C34" s="2"/>
      <c r="E34" s="2"/>
      <c r="G34" s="9"/>
      <c r="I34" s="2"/>
      <c r="J34"/>
      <c r="K34" s="2"/>
    </row>
    <row r="35" spans="1:11" x14ac:dyDescent="0.35">
      <c r="A35" s="1"/>
      <c r="B35" s="1"/>
      <c r="C35" s="1"/>
      <c r="E35" s="1"/>
      <c r="G35" s="1"/>
      <c r="H35" s="1"/>
      <c r="I35" s="2"/>
      <c r="K35" s="1"/>
    </row>
    <row r="36" spans="1:11" x14ac:dyDescent="0.35">
      <c r="A36" s="1"/>
      <c r="B36" s="10"/>
      <c r="C36" s="2"/>
      <c r="E36" s="2"/>
      <c r="G36" s="9"/>
      <c r="H36" s="10"/>
      <c r="I36" s="2"/>
      <c r="J36" s="10"/>
      <c r="K36" s="2"/>
    </row>
    <row r="37" spans="1:11" x14ac:dyDescent="0.35">
      <c r="A37" s="1"/>
      <c r="B37" s="10"/>
      <c r="C37" s="2"/>
      <c r="E37" s="2"/>
      <c r="G37" s="1"/>
      <c r="H37" s="1"/>
      <c r="I37" s="2"/>
      <c r="K37" s="2"/>
    </row>
    <row r="38" spans="1:11" x14ac:dyDescent="0.35">
      <c r="A38" s="3"/>
      <c r="B38" s="11"/>
      <c r="C38" s="4"/>
      <c r="D38" s="3"/>
      <c r="E38" s="4"/>
      <c r="G38" s="1"/>
      <c r="H38" s="1"/>
      <c r="I38" s="13"/>
      <c r="K38" s="13"/>
    </row>
    <row r="39" spans="1:11" x14ac:dyDescent="0.35">
      <c r="A39" s="1"/>
      <c r="B39" s="1"/>
      <c r="C39" s="1"/>
      <c r="E39" s="1"/>
      <c r="G39" s="8"/>
      <c r="H39" s="8"/>
      <c r="I39" s="8"/>
      <c r="J39" s="8"/>
      <c r="K39" s="8"/>
    </row>
    <row r="40" spans="1:11" x14ac:dyDescent="0.35">
      <c r="A40" s="1"/>
      <c r="C40" s="2"/>
      <c r="E40" s="2"/>
      <c r="G40" s="9"/>
      <c r="I40" s="2"/>
      <c r="J40"/>
      <c r="K40" s="2"/>
    </row>
    <row r="41" spans="1:11" x14ac:dyDescent="0.35">
      <c r="A41" s="1"/>
      <c r="C41" s="2"/>
      <c r="E41" s="2"/>
      <c r="G41" s="9"/>
      <c r="I41" s="2"/>
      <c r="J41"/>
      <c r="K41" s="2"/>
    </row>
    <row r="42" spans="1:11" x14ac:dyDescent="0.35">
      <c r="A42" s="3"/>
      <c r="B42" s="3"/>
      <c r="C42" s="3"/>
      <c r="D42" s="3"/>
      <c r="E42" s="3"/>
      <c r="F42" s="14"/>
      <c r="G42" s="1"/>
      <c r="H42" s="3"/>
      <c r="I42" s="3"/>
      <c r="J42" s="3"/>
      <c r="K42" s="3"/>
    </row>
    <row r="43" spans="1:11" x14ac:dyDescent="0.35">
      <c r="D43"/>
      <c r="G43" s="30"/>
      <c r="J43"/>
    </row>
    <row r="44" spans="1:11" ht="15" thickBot="1" x14ac:dyDescent="0.4">
      <c r="A44" s="9"/>
      <c r="B44" s="9"/>
      <c r="C44" s="13"/>
      <c r="D44" s="9"/>
      <c r="E44" s="13"/>
      <c r="G44" s="1"/>
      <c r="H44" s="1"/>
      <c r="I44" s="13"/>
      <c r="K44" s="13"/>
    </row>
    <row r="45" spans="1:11" ht="15" thickBot="1" x14ac:dyDescent="0.4">
      <c r="A45" s="16"/>
      <c r="B45" s="16"/>
      <c r="C45" s="17"/>
      <c r="D45" s="16"/>
      <c r="E45" s="17"/>
      <c r="F45" s="14"/>
      <c r="G45" s="16"/>
      <c r="H45" s="16"/>
      <c r="I45" s="16"/>
      <c r="J45" s="16"/>
      <c r="K45" s="16"/>
    </row>
    <row r="46" spans="1:11" ht="15" thickTop="1" x14ac:dyDescent="0.35">
      <c r="G46" s="2"/>
    </row>
    <row r="47" spans="1:11" x14ac:dyDescent="0.35">
      <c r="G47" s="2"/>
    </row>
    <row r="48" spans="1:11" x14ac:dyDescent="0.35">
      <c r="A48" s="2"/>
    </row>
  </sheetData>
  <mergeCells count="1">
    <mergeCell ref="F5:F6"/>
  </mergeCells>
  <pageMargins left="0.7" right="0.7" top="0.75" bottom="0.75" header="0.3" footer="0.3"/>
  <pageSetup scale="73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3:K29"/>
  <sheetViews>
    <sheetView topLeftCell="A3" workbookViewId="0">
      <selection activeCell="S29" sqref="A1:XFD1048576"/>
    </sheetView>
  </sheetViews>
  <sheetFormatPr defaultRowHeight="14.5" x14ac:dyDescent="0.35"/>
  <cols>
    <col min="1" max="1" width="11.54296875" customWidth="1"/>
    <col min="2" max="2" width="9.54296875" bestFit="1" customWidth="1"/>
    <col min="6" max="6" width="25" customWidth="1"/>
  </cols>
  <sheetData>
    <row r="3" spans="1:11" x14ac:dyDescent="0.35">
      <c r="A3" s="29"/>
    </row>
    <row r="5" spans="1:11" ht="14.5" customHeight="1" x14ac:dyDescent="0.35">
      <c r="D5" s="1"/>
      <c r="F5" s="53"/>
      <c r="J5" s="1"/>
    </row>
    <row r="6" spans="1:11" ht="14.5" customHeight="1" x14ac:dyDescent="0.35">
      <c r="D6" s="1"/>
      <c r="F6" s="53"/>
      <c r="J6" s="1"/>
    </row>
    <row r="7" spans="1:11" x14ac:dyDescent="0.35">
      <c r="D7" s="1"/>
      <c r="J7" s="1"/>
    </row>
    <row r="8" spans="1:11" x14ac:dyDescent="0.35">
      <c r="D8" s="1"/>
      <c r="J8" s="1"/>
    </row>
    <row r="9" spans="1:11" x14ac:dyDescent="0.35">
      <c r="A9" s="5"/>
      <c r="C9" s="6"/>
      <c r="D9" s="5"/>
      <c r="E9" s="6"/>
      <c r="G9" s="5"/>
      <c r="H9" s="5"/>
      <c r="I9" s="6"/>
      <c r="J9" s="5"/>
      <c r="K9" s="6"/>
    </row>
    <row r="10" spans="1:11" x14ac:dyDescent="0.35">
      <c r="A10" s="5"/>
      <c r="C10" s="6"/>
      <c r="D10" s="5"/>
      <c r="E10" s="6"/>
      <c r="G10" s="5"/>
      <c r="H10" s="5"/>
      <c r="I10" s="6"/>
      <c r="J10" s="5"/>
      <c r="K10" s="6"/>
    </row>
    <row r="11" spans="1:11" x14ac:dyDescent="0.35">
      <c r="A11" s="5"/>
      <c r="C11" s="6"/>
      <c r="D11" s="5"/>
      <c r="E11" s="6"/>
      <c r="G11" s="5"/>
      <c r="H11" s="5"/>
      <c r="I11" s="6"/>
      <c r="J11" s="5"/>
      <c r="K11" s="6"/>
    </row>
    <row r="12" spans="1:11" x14ac:dyDescent="0.35">
      <c r="A12" s="5"/>
      <c r="C12" s="6"/>
      <c r="D12" s="5"/>
      <c r="E12" s="6"/>
      <c r="G12" s="5"/>
      <c r="H12" s="5"/>
      <c r="I12" s="6"/>
      <c r="J12" s="5"/>
      <c r="K12" s="6"/>
    </row>
    <row r="13" spans="1:11" x14ac:dyDescent="0.35">
      <c r="A13" s="5"/>
      <c r="C13" s="6"/>
      <c r="D13" s="5"/>
      <c r="E13" s="6"/>
      <c r="G13" s="5"/>
      <c r="H13" s="5"/>
      <c r="I13" s="6"/>
      <c r="J13" s="5"/>
      <c r="K13" s="6"/>
    </row>
    <row r="14" spans="1:11" x14ac:dyDescent="0.35">
      <c r="A14" s="5"/>
      <c r="C14" s="6"/>
      <c r="D14" s="5"/>
      <c r="E14" s="6"/>
      <c r="G14" s="5"/>
      <c r="H14" s="5"/>
      <c r="I14" s="6"/>
      <c r="J14" s="5"/>
      <c r="K14" s="6"/>
    </row>
    <row r="15" spans="1:11" x14ac:dyDescent="0.35">
      <c r="A15" s="5"/>
      <c r="B15" s="5"/>
      <c r="C15" s="6"/>
      <c r="D15" s="5"/>
      <c r="E15" s="6"/>
      <c r="G15" s="5"/>
      <c r="H15" s="5"/>
      <c r="I15" s="6"/>
      <c r="J15" s="5"/>
      <c r="K15" s="6"/>
    </row>
    <row r="16" spans="1:11" x14ac:dyDescent="0.35">
      <c r="A16" s="5"/>
      <c r="B16" s="5"/>
      <c r="C16" s="6"/>
      <c r="D16" s="5"/>
      <c r="E16" s="6"/>
      <c r="G16" s="5"/>
      <c r="H16" s="5"/>
      <c r="I16" s="6"/>
      <c r="J16" s="5"/>
      <c r="K16" s="6"/>
    </row>
    <row r="17" spans="1:11" x14ac:dyDescent="0.35">
      <c r="A17" s="5"/>
      <c r="B17" s="5"/>
      <c r="C17" s="6"/>
      <c r="D17" s="5"/>
      <c r="E17" s="6"/>
      <c r="G17" s="5"/>
      <c r="H17" s="5"/>
      <c r="I17" s="6"/>
      <c r="J17" s="5"/>
      <c r="K17" s="6"/>
    </row>
    <row r="18" spans="1:11" x14ac:dyDescent="0.35">
      <c r="A18" s="5"/>
      <c r="B18" s="5"/>
      <c r="C18" s="6"/>
      <c r="D18" s="5"/>
      <c r="E18" s="6"/>
      <c r="G18" s="5"/>
      <c r="H18" s="5"/>
      <c r="I18" s="6"/>
      <c r="J18" s="5"/>
      <c r="K18" s="6"/>
    </row>
    <row r="19" spans="1:11" x14ac:dyDescent="0.35">
      <c r="A19" s="5"/>
      <c r="B19" s="5"/>
      <c r="C19" s="6"/>
      <c r="D19" s="5"/>
      <c r="E19" s="6"/>
      <c r="G19" s="5"/>
      <c r="H19" s="5"/>
      <c r="I19" s="6"/>
      <c r="J19" s="5"/>
      <c r="K19" s="6"/>
    </row>
    <row r="20" spans="1:11" x14ac:dyDescent="0.35">
      <c r="A20" s="5"/>
      <c r="B20" s="5"/>
      <c r="C20" s="6"/>
      <c r="D20" s="5"/>
      <c r="E20" s="6"/>
      <c r="G20" s="5"/>
      <c r="H20" s="5"/>
      <c r="I20" s="6"/>
      <c r="J20" s="5"/>
      <c r="K20" s="6"/>
    </row>
    <row r="21" spans="1:11" x14ac:dyDescent="0.35">
      <c r="A21" s="5"/>
      <c r="B21" s="5"/>
      <c r="C21" s="6"/>
      <c r="D21" s="5"/>
      <c r="E21" s="6"/>
      <c r="G21" s="5"/>
      <c r="H21" s="5"/>
      <c r="I21" s="6"/>
      <c r="J21" s="5"/>
      <c r="K21" s="6"/>
    </row>
    <row r="22" spans="1:11" x14ac:dyDescent="0.35">
      <c r="A22" s="5"/>
      <c r="B22" s="5"/>
      <c r="C22" s="6"/>
      <c r="D22" s="5"/>
      <c r="E22" s="6"/>
      <c r="G22" s="5"/>
      <c r="H22" s="5"/>
      <c r="I22" s="6"/>
      <c r="J22" s="5"/>
      <c r="K22" s="6"/>
    </row>
    <row r="23" spans="1:11" x14ac:dyDescent="0.35">
      <c r="A23" s="5"/>
      <c r="B23" s="5"/>
      <c r="C23" s="5"/>
      <c r="D23" s="5"/>
      <c r="E23" s="5"/>
      <c r="G23" s="5"/>
      <c r="H23" s="5"/>
      <c r="I23" s="6"/>
      <c r="J23" s="5"/>
      <c r="K23" s="6"/>
    </row>
    <row r="24" spans="1:11" x14ac:dyDescent="0.35">
      <c r="A24" s="5"/>
      <c r="B24" s="5"/>
      <c r="C24" s="5"/>
      <c r="D24" s="5"/>
      <c r="E24" s="5"/>
      <c r="G24" s="5"/>
      <c r="H24" s="5"/>
      <c r="I24" s="6"/>
      <c r="J24" s="5"/>
      <c r="K24" s="6"/>
    </row>
    <row r="25" spans="1:11" x14ac:dyDescent="0.35">
      <c r="A25" s="5"/>
      <c r="B25" s="12"/>
      <c r="C25" s="6"/>
      <c r="D25" s="5"/>
      <c r="E25" s="6"/>
      <c r="G25" s="5"/>
      <c r="H25" s="5"/>
      <c r="I25" s="6"/>
      <c r="J25" s="5"/>
      <c r="K25" s="6"/>
    </row>
    <row r="26" spans="1:11" x14ac:dyDescent="0.35">
      <c r="A26" s="5"/>
      <c r="B26" s="5"/>
      <c r="C26" s="5"/>
      <c r="D26" s="5"/>
      <c r="E26" s="6"/>
      <c r="G26" s="5"/>
      <c r="H26" s="5"/>
      <c r="I26" s="6"/>
      <c r="J26" s="5"/>
      <c r="K26" s="6"/>
    </row>
    <row r="27" spans="1:11" x14ac:dyDescent="0.35">
      <c r="A27" s="5"/>
      <c r="C27" s="6"/>
      <c r="D27" s="5"/>
      <c r="E27" s="6"/>
      <c r="G27" s="5"/>
      <c r="H27" s="5"/>
      <c r="I27" s="6"/>
      <c r="J27" s="5"/>
      <c r="K27" s="6"/>
    </row>
    <row r="28" spans="1:11" x14ac:dyDescent="0.35">
      <c r="G28" s="5"/>
      <c r="H28" s="5"/>
      <c r="J28" s="5"/>
    </row>
    <row r="29" spans="1:11" x14ac:dyDescent="0.35">
      <c r="A29" s="5"/>
      <c r="C29" s="6"/>
      <c r="D29" s="5"/>
      <c r="E29" s="6"/>
      <c r="G29" s="5"/>
      <c r="H29" s="5"/>
      <c r="I29" s="6"/>
      <c r="J29" s="5"/>
      <c r="K29" s="6"/>
    </row>
  </sheetData>
  <mergeCells count="1">
    <mergeCell ref="F5:F6"/>
  </mergeCells>
  <pageMargins left="0.7" right="0.7" top="0.75" bottom="0.75" header="0.3" footer="0.3"/>
  <pageSetup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3:K47"/>
  <sheetViews>
    <sheetView topLeftCell="A6" workbookViewId="0">
      <selection activeCell="L32" sqref="A1:XFD1048576"/>
    </sheetView>
  </sheetViews>
  <sheetFormatPr defaultRowHeight="14.5" x14ac:dyDescent="0.35"/>
  <cols>
    <col min="1" max="1" width="13.453125" customWidth="1"/>
    <col min="2" max="2" width="13.54296875" customWidth="1"/>
    <col min="3" max="3" width="16" customWidth="1"/>
    <col min="4" max="4" width="13.453125" style="1" bestFit="1" customWidth="1"/>
    <col min="5" max="5" width="12" customWidth="1"/>
    <col min="6" max="6" width="28.81640625" customWidth="1"/>
    <col min="7" max="7" width="13.453125" bestFit="1" customWidth="1"/>
    <col min="8" max="8" width="14.81640625" customWidth="1"/>
    <col min="9" max="9" width="14.1796875" customWidth="1"/>
    <col min="10" max="10" width="14.81640625" style="1" customWidth="1"/>
    <col min="11" max="11" width="14.453125" customWidth="1"/>
  </cols>
  <sheetData>
    <row r="3" spans="1:11" x14ac:dyDescent="0.35">
      <c r="A3" s="7"/>
      <c r="B3" s="27"/>
    </row>
    <row r="4" spans="1:11" x14ac:dyDescent="0.35">
      <c r="J4" s="28"/>
    </row>
    <row r="5" spans="1:11" x14ac:dyDescent="0.35">
      <c r="F5" s="53"/>
    </row>
    <row r="6" spans="1:11" x14ac:dyDescent="0.35">
      <c r="F6" s="53"/>
    </row>
    <row r="7" spans="1:11" x14ac:dyDescent="0.35">
      <c r="F7" s="53"/>
    </row>
    <row r="8" spans="1:11" x14ac:dyDescent="0.35">
      <c r="F8" s="32"/>
    </row>
    <row r="9" spans="1:11" x14ac:dyDescent="0.35">
      <c r="A9" s="22"/>
      <c r="B9" s="10"/>
      <c r="C9" s="2"/>
      <c r="D9" s="22"/>
      <c r="E9" s="2"/>
      <c r="G9" s="1"/>
      <c r="H9" s="1"/>
      <c r="I9" s="2"/>
      <c r="K9" s="2"/>
    </row>
    <row r="10" spans="1:11" x14ac:dyDescent="0.35">
      <c r="A10" s="22"/>
      <c r="B10" s="10"/>
      <c r="C10" s="2"/>
      <c r="D10" s="22"/>
      <c r="E10" s="2"/>
      <c r="G10" s="1"/>
      <c r="H10" s="1"/>
      <c r="I10" s="2"/>
      <c r="K10" s="2"/>
    </row>
    <row r="11" spans="1:11" x14ac:dyDescent="0.35">
      <c r="A11" s="23"/>
      <c r="B11" s="11"/>
      <c r="C11" s="4"/>
      <c r="D11" s="23"/>
      <c r="E11" s="4"/>
      <c r="G11" s="1"/>
      <c r="H11" s="1"/>
      <c r="I11" s="2"/>
      <c r="K11" s="2"/>
    </row>
    <row r="12" spans="1:11" x14ac:dyDescent="0.35">
      <c r="A12" s="22"/>
      <c r="B12" s="1"/>
      <c r="C12" s="1"/>
      <c r="D12" s="22"/>
      <c r="E12" s="1"/>
      <c r="G12" s="8"/>
      <c r="H12" s="8"/>
      <c r="I12" s="8"/>
      <c r="J12" s="8"/>
      <c r="K12" s="8"/>
    </row>
    <row r="13" spans="1:11" x14ac:dyDescent="0.35">
      <c r="A13" s="22"/>
      <c r="C13" s="2"/>
      <c r="D13" s="22"/>
      <c r="E13" s="2"/>
      <c r="G13" s="1"/>
      <c r="I13" s="2"/>
      <c r="J13"/>
      <c r="K13" s="2"/>
    </row>
    <row r="14" spans="1:11" x14ac:dyDescent="0.35">
      <c r="A14" s="22"/>
      <c r="B14" s="10"/>
      <c r="C14" s="2"/>
      <c r="D14" s="22"/>
      <c r="E14" s="2"/>
      <c r="G14" s="1"/>
      <c r="H14" s="1"/>
      <c r="I14" s="2"/>
      <c r="K14" s="2"/>
    </row>
    <row r="15" spans="1:11" x14ac:dyDescent="0.35">
      <c r="A15" s="23"/>
      <c r="B15" s="11"/>
      <c r="C15" s="4"/>
      <c r="D15" s="23"/>
      <c r="E15" s="4"/>
      <c r="G15" s="1"/>
      <c r="H15" s="1"/>
      <c r="I15" s="13"/>
      <c r="K15" s="13"/>
    </row>
    <row r="16" spans="1:11" x14ac:dyDescent="0.35">
      <c r="A16" s="22"/>
      <c r="B16" s="1"/>
      <c r="C16" s="1"/>
      <c r="D16" s="22"/>
      <c r="E16" s="1"/>
      <c r="G16" s="8"/>
      <c r="H16" s="8"/>
      <c r="I16" s="8"/>
      <c r="J16" s="8"/>
      <c r="K16" s="8"/>
    </row>
    <row r="17" spans="1:11" x14ac:dyDescent="0.35">
      <c r="A17" s="22"/>
      <c r="C17" s="2"/>
      <c r="D17" s="22"/>
      <c r="E17" s="2"/>
      <c r="G17" s="1"/>
      <c r="I17" s="2"/>
      <c r="J17"/>
      <c r="K17" s="2"/>
    </row>
    <row r="18" spans="1:11" x14ac:dyDescent="0.35">
      <c r="A18" s="22"/>
      <c r="B18" s="1"/>
      <c r="C18" s="1"/>
      <c r="D18" s="22"/>
      <c r="E18" s="1"/>
      <c r="G18" s="1"/>
      <c r="H18" s="1"/>
      <c r="I18" s="1"/>
      <c r="K18" s="1"/>
    </row>
    <row r="19" spans="1:11" x14ac:dyDescent="0.35">
      <c r="A19" s="22"/>
      <c r="C19" s="2"/>
      <c r="D19" s="22"/>
      <c r="E19" s="2"/>
      <c r="G19" s="1"/>
      <c r="I19" s="2"/>
      <c r="J19"/>
      <c r="K19" s="2"/>
    </row>
    <row r="20" spans="1:11" x14ac:dyDescent="0.35">
      <c r="A20" s="22"/>
      <c r="C20" s="2"/>
      <c r="D20" s="22"/>
      <c r="E20" s="2"/>
      <c r="F20" s="32"/>
      <c r="G20" s="1"/>
      <c r="I20" s="2"/>
      <c r="J20"/>
      <c r="K20" s="2"/>
    </row>
    <row r="21" spans="1:11" x14ac:dyDescent="0.35">
      <c r="A21" s="22"/>
      <c r="B21" s="10"/>
      <c r="C21" s="2"/>
      <c r="D21" s="22"/>
      <c r="E21" s="2"/>
      <c r="G21" s="1"/>
      <c r="H21" s="1"/>
      <c r="I21" s="2"/>
      <c r="K21" s="2"/>
    </row>
    <row r="22" spans="1:11" x14ac:dyDescent="0.35">
      <c r="A22" s="22"/>
      <c r="B22" s="10"/>
      <c r="C22" s="2"/>
      <c r="D22" s="22"/>
      <c r="E22" s="2"/>
      <c r="G22" s="1"/>
      <c r="H22" s="1"/>
      <c r="I22" s="2"/>
      <c r="K22" s="2"/>
    </row>
    <row r="23" spans="1:11" x14ac:dyDescent="0.35">
      <c r="A23" s="22"/>
      <c r="B23" s="10"/>
      <c r="C23" s="2"/>
      <c r="D23" s="22"/>
      <c r="E23" s="2"/>
      <c r="G23" s="1"/>
      <c r="H23" s="1"/>
      <c r="I23" s="2"/>
      <c r="K23" s="2"/>
    </row>
    <row r="24" spans="1:11" x14ac:dyDescent="0.35">
      <c r="A24" s="22"/>
      <c r="B24" s="10"/>
      <c r="C24" s="2"/>
      <c r="D24" s="22"/>
      <c r="E24" s="2"/>
      <c r="G24" s="1"/>
      <c r="H24" s="1"/>
      <c r="I24" s="2"/>
      <c r="K24" s="2"/>
    </row>
    <row r="25" spans="1:11" x14ac:dyDescent="0.35">
      <c r="A25" s="22"/>
      <c r="B25" s="10"/>
      <c r="C25" s="2"/>
      <c r="D25" s="22"/>
      <c r="E25" s="2"/>
      <c r="G25" s="1"/>
      <c r="H25" s="1"/>
      <c r="I25" s="2"/>
      <c r="K25" s="2"/>
    </row>
    <row r="26" spans="1:11" x14ac:dyDescent="0.35">
      <c r="A26" s="22"/>
      <c r="B26" s="10"/>
      <c r="C26" s="2"/>
      <c r="D26" s="22"/>
      <c r="E26" s="2"/>
      <c r="G26" s="1"/>
      <c r="H26" s="1"/>
      <c r="I26" s="2"/>
      <c r="K26" s="2"/>
    </row>
    <row r="27" spans="1:11" x14ac:dyDescent="0.35">
      <c r="A27" s="22"/>
      <c r="B27" s="10"/>
      <c r="C27" s="2"/>
      <c r="D27" s="22"/>
      <c r="E27" s="2"/>
      <c r="G27" s="1"/>
      <c r="H27" s="1"/>
      <c r="I27" s="2"/>
      <c r="K27" s="2"/>
    </row>
    <row r="28" spans="1:11" x14ac:dyDescent="0.35">
      <c r="A28" s="22"/>
      <c r="B28" s="10"/>
      <c r="C28" s="2"/>
      <c r="D28" s="22"/>
      <c r="E28" s="2"/>
      <c r="G28" s="1"/>
      <c r="H28" s="1"/>
      <c r="I28" s="2"/>
      <c r="K28" s="2"/>
    </row>
    <row r="29" spans="1:11" x14ac:dyDescent="0.35">
      <c r="A29" s="22"/>
      <c r="B29" s="10"/>
      <c r="C29" s="2"/>
      <c r="D29" s="22"/>
      <c r="E29" s="2"/>
      <c r="G29" s="1"/>
      <c r="H29" s="1"/>
      <c r="I29" s="2"/>
      <c r="K29" s="2"/>
    </row>
    <row r="30" spans="1:11" x14ac:dyDescent="0.35">
      <c r="A30" s="22"/>
      <c r="B30" s="10"/>
      <c r="C30" s="2"/>
      <c r="D30" s="22"/>
      <c r="E30" s="2"/>
      <c r="G30" s="1"/>
      <c r="H30" s="1"/>
      <c r="I30" s="2"/>
      <c r="K30" s="2"/>
    </row>
    <row r="31" spans="1:11" x14ac:dyDescent="0.35">
      <c r="A31" s="22"/>
      <c r="B31" s="10"/>
      <c r="C31" s="2"/>
      <c r="D31" s="22"/>
      <c r="E31" s="2"/>
      <c r="G31" s="1"/>
      <c r="H31" s="1"/>
      <c r="I31" s="2"/>
      <c r="K31" s="2"/>
    </row>
    <row r="32" spans="1:11" x14ac:dyDescent="0.35">
      <c r="A32" s="23"/>
      <c r="B32" s="11"/>
      <c r="C32" s="4"/>
      <c r="D32" s="23"/>
      <c r="E32" s="4"/>
      <c r="G32" s="1"/>
      <c r="H32" s="1"/>
      <c r="I32" s="13"/>
      <c r="K32" s="13"/>
    </row>
    <row r="33" spans="1:11" x14ac:dyDescent="0.35">
      <c r="A33" s="22"/>
      <c r="B33" s="1"/>
      <c r="C33" s="1"/>
      <c r="D33" s="22"/>
      <c r="E33" s="1"/>
      <c r="G33" s="8"/>
      <c r="H33" s="8"/>
      <c r="I33" s="8"/>
      <c r="J33" s="8"/>
      <c r="K33" s="8"/>
    </row>
    <row r="34" spans="1:11" x14ac:dyDescent="0.35">
      <c r="A34" s="22"/>
      <c r="C34" s="2"/>
      <c r="D34" s="22"/>
      <c r="E34" s="2"/>
      <c r="G34" s="9"/>
      <c r="I34" s="2"/>
      <c r="J34"/>
      <c r="K34" s="2"/>
    </row>
    <row r="35" spans="1:11" x14ac:dyDescent="0.35">
      <c r="A35" s="22"/>
      <c r="B35" s="1"/>
      <c r="C35" s="1"/>
      <c r="D35" s="22"/>
      <c r="E35" s="1"/>
      <c r="G35" s="1"/>
      <c r="H35" s="1"/>
      <c r="I35" s="2"/>
      <c r="K35" s="1"/>
    </row>
    <row r="36" spans="1:11" x14ac:dyDescent="0.35">
      <c r="A36" s="22"/>
      <c r="B36" s="10"/>
      <c r="C36" s="2"/>
      <c r="D36" s="22"/>
      <c r="E36" s="2"/>
      <c r="G36" s="9"/>
      <c r="H36" s="10"/>
      <c r="I36" s="2"/>
      <c r="J36" s="10"/>
      <c r="K36" s="2"/>
    </row>
    <row r="37" spans="1:11" x14ac:dyDescent="0.35">
      <c r="A37" s="22"/>
      <c r="B37" s="10"/>
      <c r="C37" s="2"/>
      <c r="D37" s="22"/>
      <c r="E37" s="2"/>
      <c r="G37" s="1"/>
      <c r="H37" s="1"/>
      <c r="I37" s="2"/>
      <c r="K37" s="2"/>
    </row>
    <row r="38" spans="1:11" x14ac:dyDescent="0.35">
      <c r="A38" s="23"/>
      <c r="B38" s="11"/>
      <c r="C38" s="4"/>
      <c r="D38" s="23"/>
      <c r="E38" s="4"/>
      <c r="G38" s="1"/>
      <c r="H38" s="1"/>
      <c r="I38" s="13"/>
      <c r="K38" s="13"/>
    </row>
    <row r="39" spans="1:11" x14ac:dyDescent="0.35">
      <c r="A39" s="22"/>
      <c r="B39" s="1"/>
      <c r="C39" s="1"/>
      <c r="D39" s="22"/>
      <c r="E39" s="1"/>
      <c r="G39" s="8"/>
      <c r="H39" s="8"/>
      <c r="I39" s="8"/>
      <c r="J39" s="8"/>
      <c r="K39" s="8"/>
    </row>
    <row r="40" spans="1:11" x14ac:dyDescent="0.35">
      <c r="A40" s="22"/>
      <c r="C40" s="2"/>
      <c r="D40" s="22"/>
      <c r="E40" s="2"/>
      <c r="G40" s="9"/>
      <c r="I40" s="2"/>
      <c r="J40"/>
      <c r="K40" s="2"/>
    </row>
    <row r="41" spans="1:11" x14ac:dyDescent="0.35">
      <c r="A41" s="22"/>
      <c r="C41" s="2"/>
      <c r="D41" s="22"/>
      <c r="E41" s="2"/>
      <c r="G41" s="9"/>
      <c r="I41" s="2"/>
      <c r="J41"/>
      <c r="K41" s="2"/>
    </row>
    <row r="42" spans="1:11" x14ac:dyDescent="0.35">
      <c r="A42" s="23"/>
      <c r="B42" s="3"/>
      <c r="C42" s="3"/>
      <c r="D42" s="23"/>
      <c r="E42" s="3"/>
      <c r="F42" s="14"/>
      <c r="G42" s="3"/>
      <c r="H42" s="3"/>
      <c r="I42" s="3"/>
      <c r="J42" s="3"/>
      <c r="K42" s="3"/>
    </row>
    <row r="43" spans="1:11" x14ac:dyDescent="0.35">
      <c r="A43" s="24"/>
      <c r="D43" s="24"/>
      <c r="J43"/>
    </row>
    <row r="44" spans="1:11" ht="15" thickBot="1" x14ac:dyDescent="0.4">
      <c r="A44" s="25"/>
      <c r="B44" s="9"/>
      <c r="C44" s="13"/>
      <c r="D44" s="25"/>
      <c r="E44" s="13"/>
      <c r="G44" s="1"/>
      <c r="H44" s="1"/>
      <c r="I44" s="13"/>
      <c r="K44" s="13"/>
    </row>
    <row r="45" spans="1:11" ht="15" thickBot="1" x14ac:dyDescent="0.4">
      <c r="A45" s="26"/>
      <c r="B45" s="16"/>
      <c r="C45" s="17"/>
      <c r="D45" s="26"/>
      <c r="E45" s="17"/>
      <c r="F45" s="14"/>
      <c r="G45" s="16"/>
      <c r="H45" s="16"/>
      <c r="I45" s="16"/>
      <c r="J45" s="16"/>
      <c r="K45" s="16"/>
    </row>
    <row r="46" spans="1:11" ht="15" thickTop="1" x14ac:dyDescent="0.35">
      <c r="A46" s="2"/>
      <c r="G46" s="2"/>
    </row>
    <row r="47" spans="1:11" x14ac:dyDescent="0.35">
      <c r="A47" s="2"/>
    </row>
  </sheetData>
  <mergeCells count="1">
    <mergeCell ref="F5:F7"/>
  </mergeCells>
  <pageMargins left="0.7" right="0.7" top="0.75" bottom="0.75" header="0.3" footer="0.3"/>
  <pageSetup scale="72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3:K29"/>
  <sheetViews>
    <sheetView workbookViewId="0">
      <selection activeCell="T27" sqref="A1:XFD1048576"/>
    </sheetView>
  </sheetViews>
  <sheetFormatPr defaultRowHeight="14.5" x14ac:dyDescent="0.35"/>
  <cols>
    <col min="1" max="1" width="11.54296875" customWidth="1"/>
    <col min="2" max="2" width="9.54296875" bestFit="1" customWidth="1"/>
    <col min="6" max="6" width="25" customWidth="1"/>
  </cols>
  <sheetData>
    <row r="3" spans="1:11" x14ac:dyDescent="0.35">
      <c r="A3" s="31"/>
    </row>
    <row r="5" spans="1:11" ht="14.5" customHeight="1" x14ac:dyDescent="0.35">
      <c r="D5" s="1"/>
      <c r="F5" s="51"/>
      <c r="J5" s="1"/>
    </row>
    <row r="6" spans="1:11" ht="14.5" customHeight="1" x14ac:dyDescent="0.35">
      <c r="D6" s="1"/>
      <c r="F6" s="51"/>
      <c r="J6" s="1"/>
    </row>
    <row r="7" spans="1:11" ht="14.5" customHeight="1" x14ac:dyDescent="0.35">
      <c r="D7" s="1"/>
      <c r="F7" s="51"/>
      <c r="J7" s="1"/>
    </row>
    <row r="8" spans="1:11" x14ac:dyDescent="0.35">
      <c r="D8" s="1"/>
      <c r="J8" s="1"/>
    </row>
    <row r="9" spans="1:11" x14ac:dyDescent="0.35">
      <c r="A9" s="5"/>
      <c r="B9" s="5"/>
      <c r="C9" s="6"/>
      <c r="D9" s="5"/>
      <c r="E9" s="6"/>
      <c r="G9" s="5"/>
      <c r="H9" s="5"/>
      <c r="I9" s="6"/>
      <c r="J9" s="5"/>
      <c r="K9" s="6"/>
    </row>
    <row r="10" spans="1:11" x14ac:dyDescent="0.35">
      <c r="A10" s="5"/>
      <c r="B10" s="5"/>
      <c r="C10" s="6"/>
      <c r="D10" s="5"/>
      <c r="E10" s="6"/>
      <c r="G10" s="5"/>
      <c r="H10" s="5"/>
      <c r="I10" s="6"/>
      <c r="J10" s="5"/>
      <c r="K10" s="6"/>
    </row>
    <row r="11" spans="1:11" x14ac:dyDescent="0.35">
      <c r="A11" s="5"/>
      <c r="C11" s="6"/>
      <c r="D11" s="5"/>
      <c r="E11" s="6"/>
      <c r="G11" s="5"/>
      <c r="H11" s="5"/>
      <c r="I11" s="6"/>
      <c r="J11" s="5"/>
      <c r="K11" s="6"/>
    </row>
    <row r="12" spans="1:11" x14ac:dyDescent="0.35">
      <c r="A12" s="5"/>
      <c r="C12" s="6"/>
      <c r="D12" s="5"/>
      <c r="E12" s="6"/>
      <c r="G12" s="5"/>
      <c r="H12" s="5"/>
      <c r="I12" s="6"/>
      <c r="J12" s="5"/>
      <c r="K12" s="6"/>
    </row>
    <row r="13" spans="1:11" x14ac:dyDescent="0.35">
      <c r="A13" s="5"/>
      <c r="C13" s="6"/>
      <c r="D13" s="5"/>
      <c r="E13" s="6"/>
      <c r="G13" s="5"/>
      <c r="H13" s="5"/>
      <c r="I13" s="6"/>
      <c r="J13" s="5"/>
      <c r="K13" s="6"/>
    </row>
    <row r="14" spans="1:11" x14ac:dyDescent="0.35">
      <c r="A14" s="5"/>
      <c r="C14" s="6"/>
      <c r="D14" s="5"/>
      <c r="E14" s="6"/>
      <c r="G14" s="5"/>
      <c r="H14" s="5"/>
      <c r="I14" s="6"/>
      <c r="J14" s="5"/>
      <c r="K14" s="6"/>
    </row>
    <row r="15" spans="1:11" x14ac:dyDescent="0.35">
      <c r="A15" s="5"/>
      <c r="B15" s="5"/>
      <c r="C15" s="6"/>
      <c r="D15" s="5"/>
      <c r="E15" s="6"/>
      <c r="G15" s="5"/>
      <c r="H15" s="5"/>
      <c r="I15" s="6"/>
      <c r="J15" s="5"/>
      <c r="K15" s="6"/>
    </row>
    <row r="16" spans="1:11" x14ac:dyDescent="0.35">
      <c r="A16" s="5"/>
      <c r="B16" s="5"/>
      <c r="C16" s="6"/>
      <c r="D16" s="5"/>
      <c r="E16" s="6"/>
      <c r="G16" s="5"/>
      <c r="H16" s="5"/>
      <c r="I16" s="6"/>
      <c r="J16" s="5"/>
      <c r="K16" s="6"/>
    </row>
    <row r="17" spans="1:11" x14ac:dyDescent="0.35">
      <c r="A17" s="5"/>
      <c r="B17" s="5"/>
      <c r="C17" s="6"/>
      <c r="D17" s="5"/>
      <c r="E17" s="6"/>
      <c r="G17" s="5"/>
      <c r="H17" s="5"/>
      <c r="I17" s="6"/>
      <c r="J17" s="5"/>
      <c r="K17" s="6"/>
    </row>
    <row r="18" spans="1:11" x14ac:dyDescent="0.35">
      <c r="A18" s="5"/>
      <c r="B18" s="5"/>
      <c r="C18" s="6"/>
      <c r="D18" s="5"/>
      <c r="E18" s="6"/>
      <c r="G18" s="5"/>
      <c r="H18" s="5"/>
      <c r="I18" s="6"/>
      <c r="J18" s="5"/>
      <c r="K18" s="6"/>
    </row>
    <row r="19" spans="1:11" x14ac:dyDescent="0.35">
      <c r="A19" s="5"/>
      <c r="B19" s="5"/>
      <c r="C19" s="6"/>
      <c r="D19" s="5"/>
      <c r="E19" s="6"/>
      <c r="G19" s="5"/>
      <c r="H19" s="5"/>
      <c r="I19" s="6"/>
      <c r="J19" s="5"/>
      <c r="K19" s="6"/>
    </row>
    <row r="20" spans="1:11" x14ac:dyDescent="0.35">
      <c r="A20" s="5"/>
      <c r="B20" s="5"/>
      <c r="C20" s="6"/>
      <c r="D20" s="5"/>
      <c r="E20" s="6"/>
      <c r="G20" s="5"/>
      <c r="H20" s="5"/>
      <c r="I20" s="6"/>
      <c r="J20" s="5"/>
      <c r="K20" s="6"/>
    </row>
    <row r="21" spans="1:11" x14ac:dyDescent="0.35">
      <c r="A21" s="5"/>
      <c r="B21" s="5"/>
      <c r="C21" s="6"/>
      <c r="D21" s="5"/>
      <c r="E21" s="6"/>
      <c r="G21" s="5"/>
      <c r="H21" s="5"/>
      <c r="I21" s="6"/>
      <c r="J21" s="5"/>
      <c r="K21" s="6"/>
    </row>
    <row r="22" spans="1:11" x14ac:dyDescent="0.35">
      <c r="A22" s="5"/>
      <c r="B22" s="5"/>
      <c r="C22" s="6"/>
      <c r="D22" s="5"/>
      <c r="E22" s="6"/>
      <c r="G22" s="5"/>
      <c r="H22" s="5"/>
      <c r="I22" s="6"/>
      <c r="J22" s="5"/>
      <c r="K22" s="6"/>
    </row>
    <row r="23" spans="1:11" x14ac:dyDescent="0.35">
      <c r="A23" s="5"/>
      <c r="B23" s="5"/>
      <c r="C23" s="5"/>
      <c r="D23" s="5"/>
      <c r="E23" s="5"/>
      <c r="G23" s="5"/>
      <c r="H23" s="5"/>
      <c r="I23" s="6"/>
      <c r="J23" s="5"/>
      <c r="K23" s="6"/>
    </row>
    <row r="24" spans="1:11" x14ac:dyDescent="0.35">
      <c r="A24" s="5"/>
      <c r="B24" s="5"/>
      <c r="C24" s="5"/>
      <c r="D24" s="5"/>
      <c r="E24" s="5"/>
      <c r="G24" s="5"/>
      <c r="H24" s="5"/>
      <c r="I24" s="6"/>
      <c r="J24" s="5"/>
      <c r="K24" s="6"/>
    </row>
    <row r="25" spans="1:11" x14ac:dyDescent="0.35">
      <c r="A25" s="5"/>
      <c r="B25" s="12"/>
      <c r="C25" s="6"/>
      <c r="D25" s="5"/>
      <c r="E25" s="6"/>
      <c r="G25" s="5"/>
      <c r="H25" s="5"/>
      <c r="I25" s="6"/>
      <c r="J25" s="5"/>
      <c r="K25" s="6"/>
    </row>
    <row r="26" spans="1:11" x14ac:dyDescent="0.35">
      <c r="A26" s="5"/>
      <c r="B26" s="5"/>
      <c r="C26" s="5"/>
      <c r="D26" s="5"/>
      <c r="E26" s="6"/>
      <c r="G26" s="5"/>
      <c r="H26" s="5"/>
      <c r="I26" s="6"/>
      <c r="J26" s="5"/>
      <c r="K26" s="6"/>
    </row>
    <row r="27" spans="1:11" x14ac:dyDescent="0.35">
      <c r="A27" s="5"/>
      <c r="C27" s="6"/>
      <c r="D27" s="5"/>
      <c r="E27" s="6"/>
      <c r="G27" s="5"/>
      <c r="H27" s="5"/>
      <c r="I27" s="6"/>
      <c r="J27" s="5"/>
      <c r="K27" s="6"/>
    </row>
    <row r="28" spans="1:11" x14ac:dyDescent="0.35">
      <c r="G28" s="5"/>
      <c r="H28" s="5"/>
      <c r="J28" s="5"/>
    </row>
    <row r="29" spans="1:11" x14ac:dyDescent="0.35">
      <c r="C29" s="6"/>
      <c r="E29" s="6"/>
      <c r="G29" s="5"/>
      <c r="H29" s="5"/>
      <c r="I29" s="6"/>
      <c r="J29" s="5"/>
      <c r="K29" s="6"/>
    </row>
  </sheetData>
  <mergeCells count="1">
    <mergeCell ref="F5:F7"/>
  </mergeCells>
  <pageMargins left="0.7" right="0.7" top="0.75" bottom="0.75" header="0.3" footer="0.3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6"/>
  <sheetViews>
    <sheetView workbookViewId="0">
      <selection activeCell="J10" sqref="J10"/>
    </sheetView>
  </sheetViews>
  <sheetFormatPr defaultRowHeight="14.5" x14ac:dyDescent="0.35"/>
  <cols>
    <col min="1" max="1" width="13.453125" customWidth="1"/>
    <col min="2" max="2" width="13.54296875" customWidth="1"/>
    <col min="3" max="3" width="12.81640625" customWidth="1"/>
    <col min="4" max="4" width="13.453125" style="1" bestFit="1" customWidth="1"/>
    <col min="5" max="5" width="12" customWidth="1"/>
    <col min="6" max="6" width="28.81640625" customWidth="1"/>
    <col min="7" max="7" width="13.453125" style="40" bestFit="1" customWidth="1"/>
    <col min="8" max="8" width="12.54296875" customWidth="1"/>
    <col min="9" max="9" width="14.1796875" customWidth="1"/>
    <col min="10" max="10" width="12.453125" style="1" bestFit="1" customWidth="1"/>
    <col min="11" max="11" width="14.453125" customWidth="1"/>
  </cols>
  <sheetData>
    <row r="1" spans="1:11" x14ac:dyDescent="0.35">
      <c r="A1" t="s">
        <v>47</v>
      </c>
    </row>
    <row r="2" spans="1:11" x14ac:dyDescent="0.35">
      <c r="A2" t="s">
        <v>46</v>
      </c>
    </row>
    <row r="3" spans="1:11" x14ac:dyDescent="0.35">
      <c r="A3" s="7">
        <v>43890</v>
      </c>
    </row>
    <row r="4" spans="1:11" x14ac:dyDescent="0.35">
      <c r="B4" s="35"/>
    </row>
    <row r="5" spans="1:11" x14ac:dyDescent="0.35">
      <c r="A5" t="s">
        <v>48</v>
      </c>
      <c r="B5" s="34" t="s">
        <v>48</v>
      </c>
      <c r="D5" s="1" t="s">
        <v>49</v>
      </c>
      <c r="G5" s="40" t="s">
        <v>48</v>
      </c>
      <c r="H5" t="s">
        <v>48</v>
      </c>
      <c r="J5" s="1" t="s">
        <v>49</v>
      </c>
    </row>
    <row r="6" spans="1:11" x14ac:dyDescent="0.35">
      <c r="A6" t="s">
        <v>6</v>
      </c>
      <c r="B6" s="34" t="s">
        <v>6</v>
      </c>
      <c r="C6" t="s">
        <v>9</v>
      </c>
      <c r="D6" s="1" t="s">
        <v>6</v>
      </c>
      <c r="E6" t="s">
        <v>9</v>
      </c>
      <c r="G6" s="40" t="s">
        <v>12</v>
      </c>
      <c r="H6" t="s">
        <v>12</v>
      </c>
      <c r="I6" t="s">
        <v>9</v>
      </c>
      <c r="J6" s="1" t="s">
        <v>12</v>
      </c>
      <c r="K6" t="s">
        <v>9</v>
      </c>
    </row>
    <row r="7" spans="1:11" x14ac:dyDescent="0.35">
      <c r="A7" t="s">
        <v>7</v>
      </c>
      <c r="B7" s="34" t="s">
        <v>8</v>
      </c>
      <c r="D7" s="1" t="s">
        <v>7</v>
      </c>
      <c r="G7" s="40" t="s">
        <v>7</v>
      </c>
      <c r="H7" t="s">
        <v>8</v>
      </c>
      <c r="J7" s="1" t="s">
        <v>7</v>
      </c>
    </row>
    <row r="8" spans="1:11" x14ac:dyDescent="0.35">
      <c r="B8" s="34"/>
      <c r="F8" s="38" t="s">
        <v>14</v>
      </c>
    </row>
    <row r="9" spans="1:11" x14ac:dyDescent="0.35">
      <c r="A9" s="1">
        <v>154</v>
      </c>
      <c r="B9" s="10">
        <f>12000</f>
        <v>12000</v>
      </c>
      <c r="C9" s="2">
        <f>+A9-B9</f>
        <v>-11846</v>
      </c>
      <c r="D9" s="1">
        <f>1000+7381+1000+12227</f>
        <v>21608</v>
      </c>
      <c r="E9" s="2">
        <f>+A9-D9</f>
        <v>-21454</v>
      </c>
      <c r="F9" t="s">
        <v>52</v>
      </c>
      <c r="G9" s="41">
        <f>A9+'Jan Income'!A9</f>
        <v>154</v>
      </c>
      <c r="H9" s="10">
        <f>B9+'Jan Income'!B9</f>
        <v>14000</v>
      </c>
      <c r="I9" s="2">
        <f>+G9-H9</f>
        <v>-13846</v>
      </c>
      <c r="J9" s="1">
        <f>D9+'Jan Income'!D9</f>
        <v>41744.479999999996</v>
      </c>
      <c r="K9" s="2">
        <f>+G9-J9</f>
        <v>-41590.479999999996</v>
      </c>
    </row>
    <row r="10" spans="1:11" x14ac:dyDescent="0.35">
      <c r="A10" s="1">
        <v>2397</v>
      </c>
      <c r="B10" s="10">
        <f>2400+640+1600</f>
        <v>4640</v>
      </c>
      <c r="C10" s="2">
        <f>+A10-B10</f>
        <v>-2243</v>
      </c>
      <c r="D10" s="1">
        <f>5698+344+2497.25+768+799</f>
        <v>10106.25</v>
      </c>
      <c r="E10" s="2">
        <f>+A10-D10</f>
        <v>-7709.25</v>
      </c>
      <c r="F10" t="s">
        <v>53</v>
      </c>
      <c r="G10" s="41">
        <f>A10+'Jan Income'!A10</f>
        <v>2397</v>
      </c>
      <c r="H10" s="10">
        <f>B10+'Jan Income'!B10</f>
        <v>6240</v>
      </c>
      <c r="I10" s="2">
        <f>+G10-H10</f>
        <v>-3843</v>
      </c>
      <c r="J10" s="1">
        <f>D10+'Jan Income'!D10</f>
        <v>13657</v>
      </c>
      <c r="K10" s="2">
        <f>+G10-J10</f>
        <v>-11260</v>
      </c>
    </row>
    <row r="11" spans="1:11" x14ac:dyDescent="0.35">
      <c r="A11" s="3">
        <v>0</v>
      </c>
      <c r="B11" s="11"/>
      <c r="C11" s="4">
        <f>+A11-B11</f>
        <v>0</v>
      </c>
      <c r="D11" s="3">
        <v>0</v>
      </c>
      <c r="E11" s="4">
        <f>+A11-D11</f>
        <v>0</v>
      </c>
      <c r="F11" t="s">
        <v>51</v>
      </c>
      <c r="G11" s="42">
        <f>A11+'Jan Income'!A11</f>
        <v>0</v>
      </c>
      <c r="H11" s="11">
        <f>B11+'Jan Income'!B11</f>
        <v>0</v>
      </c>
      <c r="I11" s="4">
        <f>+G11-H11</f>
        <v>0</v>
      </c>
      <c r="J11" s="1">
        <f>D11+'Jan Income'!D11</f>
        <v>0</v>
      </c>
      <c r="K11" s="4">
        <f>+G11-J11</f>
        <v>0</v>
      </c>
    </row>
    <row r="12" spans="1:11" x14ac:dyDescent="0.35">
      <c r="A12" s="1">
        <f>+A11+A10+A9</f>
        <v>2551</v>
      </c>
      <c r="B12" s="1">
        <f>+B11+B10+B9</f>
        <v>16640</v>
      </c>
      <c r="C12" s="1">
        <f>+C11+C10+C9</f>
        <v>-14089</v>
      </c>
      <c r="D12" s="1">
        <f>+D11+D10+D9</f>
        <v>31714.25</v>
      </c>
      <c r="E12" s="1">
        <f>+E11+E10+E9</f>
        <v>-29163.25</v>
      </c>
      <c r="F12" t="s">
        <v>13</v>
      </c>
      <c r="G12" s="41">
        <f>G9+G10+G11</f>
        <v>2551</v>
      </c>
      <c r="H12" s="41">
        <f>H9+H10+H11</f>
        <v>20240</v>
      </c>
      <c r="I12" s="1">
        <f>+I11+I10+I9</f>
        <v>-17689</v>
      </c>
      <c r="J12" s="8">
        <f>+J11+J10+J9</f>
        <v>55401.479999999996</v>
      </c>
      <c r="K12" s="1">
        <f>+K11+K10+K9</f>
        <v>-52850.479999999996</v>
      </c>
    </row>
    <row r="13" spans="1:11" x14ac:dyDescent="0.35">
      <c r="A13" s="1"/>
      <c r="C13" s="2"/>
      <c r="E13" s="2"/>
      <c r="G13" s="41"/>
      <c r="H13" s="10"/>
      <c r="I13" s="2"/>
      <c r="K13" s="2"/>
    </row>
    <row r="14" spans="1:11" x14ac:dyDescent="0.35">
      <c r="A14" s="1">
        <f>7608.63+600+547+757.79</f>
        <v>9513.4200000000019</v>
      </c>
      <c r="B14" s="10">
        <f>2500+2500+6101+3000</f>
        <v>14101</v>
      </c>
      <c r="C14" s="2">
        <f>+A14-B14</f>
        <v>-4587.5799999999981</v>
      </c>
      <c r="D14" s="1">
        <f>4748.63+1.92+619.69</f>
        <v>5370.24</v>
      </c>
      <c r="E14" s="2">
        <f>+A14-D14</f>
        <v>4143.1800000000021</v>
      </c>
      <c r="F14" t="s">
        <v>62</v>
      </c>
      <c r="G14" s="41">
        <f>A14+'Jan Income'!A14</f>
        <v>18252.870000000003</v>
      </c>
      <c r="H14" s="10">
        <f>B14+'Jan Income'!B14</f>
        <v>25102</v>
      </c>
      <c r="I14" s="2">
        <f>+G14-H14</f>
        <v>-6849.1299999999974</v>
      </c>
      <c r="J14" s="1">
        <f>D14+'Jan Income'!D14</f>
        <v>11758.619999999999</v>
      </c>
      <c r="K14" s="2">
        <f>+G14-J14</f>
        <v>6494.2500000000036</v>
      </c>
    </row>
    <row r="15" spans="1:11" x14ac:dyDescent="0.35">
      <c r="A15" s="3">
        <f>59.94</f>
        <v>59.94</v>
      </c>
      <c r="B15" s="11">
        <v>2700</v>
      </c>
      <c r="C15" s="4">
        <f>+A15-B15</f>
        <v>-2640.06</v>
      </c>
      <c r="D15" s="3">
        <f>1833.62</f>
        <v>1833.62</v>
      </c>
      <c r="E15" s="4">
        <f>+A15-D15</f>
        <v>-1773.6799999999998</v>
      </c>
      <c r="F15" t="s">
        <v>17</v>
      </c>
      <c r="G15" s="42">
        <f>A15+'Jan Income'!A15</f>
        <v>126.64999999999999</v>
      </c>
      <c r="H15" s="10">
        <f>B15+'Jan Income'!B15</f>
        <v>5700</v>
      </c>
      <c r="I15" s="4">
        <f>+G15-H15</f>
        <v>-5573.35</v>
      </c>
      <c r="J15" s="1">
        <f>D15+'Jan Income'!D15</f>
        <v>3170.7299999999996</v>
      </c>
      <c r="K15" s="4">
        <f>+G15-J15</f>
        <v>-3044.0799999999995</v>
      </c>
    </row>
    <row r="16" spans="1:11" x14ac:dyDescent="0.35">
      <c r="A16" s="1">
        <f>+A15+A14</f>
        <v>9573.3600000000024</v>
      </c>
      <c r="B16" s="1">
        <f>+B15+B14</f>
        <v>16801</v>
      </c>
      <c r="C16" s="1">
        <f>+C15+C14</f>
        <v>-7227.6399999999976</v>
      </c>
      <c r="D16" s="1">
        <f>+D15+D14</f>
        <v>7203.86</v>
      </c>
      <c r="E16" s="1">
        <f>+E15+E14</f>
        <v>2369.5000000000023</v>
      </c>
      <c r="F16" t="s">
        <v>15</v>
      </c>
      <c r="G16" s="43">
        <f>G15+G14</f>
        <v>18379.520000000004</v>
      </c>
      <c r="H16" s="43">
        <f>H15+H14</f>
        <v>30802</v>
      </c>
      <c r="I16" s="1">
        <f>+I15+I14</f>
        <v>-12422.479999999998</v>
      </c>
      <c r="J16" s="8">
        <f>+J15+J14</f>
        <v>14929.349999999999</v>
      </c>
      <c r="K16" s="1">
        <f>+K15+K14</f>
        <v>3450.1700000000042</v>
      </c>
    </row>
    <row r="17" spans="1:14" x14ac:dyDescent="0.35">
      <c r="A17" s="1"/>
      <c r="C17" s="2"/>
      <c r="E17" s="2"/>
      <c r="G17" s="41"/>
      <c r="H17" s="10"/>
      <c r="I17" s="2"/>
      <c r="K17" s="2"/>
    </row>
    <row r="18" spans="1:14" x14ac:dyDescent="0.35">
      <c r="A18" s="1">
        <f>A16+A12</f>
        <v>12124.360000000002</v>
      </c>
      <c r="B18" s="1">
        <f>+B16+B12</f>
        <v>33441</v>
      </c>
      <c r="C18" s="1">
        <f>+C16+C12</f>
        <v>-21316.639999999999</v>
      </c>
      <c r="D18" s="1">
        <f>D16+D12</f>
        <v>38918.11</v>
      </c>
      <c r="E18" s="1">
        <f>+E16+E12</f>
        <v>-26793.749999999996</v>
      </c>
      <c r="F18" t="s">
        <v>16</v>
      </c>
      <c r="G18" s="41">
        <f>G16+G12</f>
        <v>20930.520000000004</v>
      </c>
      <c r="H18" s="41">
        <f>H16+H12</f>
        <v>51042</v>
      </c>
      <c r="I18" s="1">
        <f>I16+I12</f>
        <v>-30111.479999999996</v>
      </c>
      <c r="J18" s="1">
        <f>+J16+J12</f>
        <v>70330.829999999987</v>
      </c>
      <c r="K18" s="1">
        <f>K16+K12</f>
        <v>-49400.30999999999</v>
      </c>
    </row>
    <row r="19" spans="1:14" x14ac:dyDescent="0.35">
      <c r="A19" s="1"/>
      <c r="C19" s="2"/>
      <c r="E19" s="2"/>
      <c r="G19" s="41"/>
      <c r="H19" s="10"/>
      <c r="I19" s="2"/>
      <c r="K19" s="2"/>
    </row>
    <row r="20" spans="1:14" x14ac:dyDescent="0.35">
      <c r="A20" s="1"/>
      <c r="C20" s="2"/>
      <c r="E20" s="2"/>
      <c r="F20" s="38" t="s">
        <v>23</v>
      </c>
      <c r="G20" s="41"/>
      <c r="H20" s="10"/>
      <c r="I20" s="2"/>
      <c r="K20" s="2"/>
    </row>
    <row r="21" spans="1:14" x14ac:dyDescent="0.35">
      <c r="A21" s="1">
        <f>37038.92+2296.41+537.09+1244.54+154.26</f>
        <v>41271.22</v>
      </c>
      <c r="B21" s="10">
        <f>3605+29090+12744+2210+4397</f>
        <v>52046</v>
      </c>
      <c r="C21" s="2">
        <f t="shared" ref="C21:C32" si="0">+A21-B21</f>
        <v>-10774.779999999999</v>
      </c>
      <c r="D21" s="1">
        <f>56523.41+3504.45+819.59+4501.46+441.27</f>
        <v>65790.179999999993</v>
      </c>
      <c r="E21" s="2">
        <f t="shared" ref="E21:E32" si="1">+A21-D21</f>
        <v>-24518.959999999992</v>
      </c>
      <c r="F21" t="s">
        <v>0</v>
      </c>
      <c r="G21" s="41">
        <f>A21+'Jan Income'!A21</f>
        <v>83640.639999999999</v>
      </c>
      <c r="H21" s="10">
        <f>B21+'Jan Income'!B21</f>
        <v>104091</v>
      </c>
      <c r="I21" s="2">
        <f t="shared" ref="I21:I32" si="2">+G21-H21</f>
        <v>-20450.36</v>
      </c>
      <c r="J21" s="1">
        <f>D21+'Jan Income'!D21</f>
        <v>149554.99</v>
      </c>
      <c r="K21" s="2">
        <f t="shared" ref="K21:K32" si="3">+G21-J21</f>
        <v>-65914.349999999991</v>
      </c>
    </row>
    <row r="22" spans="1:14" x14ac:dyDescent="0.35">
      <c r="A22" s="1">
        <f>2681.04+299.22+290</f>
        <v>3270.26</v>
      </c>
      <c r="B22" s="10">
        <f>600+600+600+325</f>
        <v>2125</v>
      </c>
      <c r="C22" s="2">
        <f t="shared" si="0"/>
        <v>1145.2600000000002</v>
      </c>
      <c r="D22" s="1">
        <f>2724.72+165+689</f>
        <v>3578.72</v>
      </c>
      <c r="E22" s="2">
        <f t="shared" si="1"/>
        <v>-308.45999999999958</v>
      </c>
      <c r="F22" t="s">
        <v>1</v>
      </c>
      <c r="G22" s="41">
        <f>A22+'Jan Income'!A22</f>
        <v>6288.29</v>
      </c>
      <c r="H22" s="10">
        <f>B22+'Jan Income'!B22</f>
        <v>4250</v>
      </c>
      <c r="I22" s="2">
        <f t="shared" si="2"/>
        <v>2038.29</v>
      </c>
      <c r="J22" s="1">
        <f>D22+'Jan Income'!D22</f>
        <v>6568.48</v>
      </c>
      <c r="K22" s="2">
        <f t="shared" si="3"/>
        <v>-280.1899999999996</v>
      </c>
    </row>
    <row r="23" spans="1:14" x14ac:dyDescent="0.35">
      <c r="A23" s="1">
        <f>3091.08-2197.21+11113.26-2048.78</f>
        <v>9958.35</v>
      </c>
      <c r="B23" s="10">
        <f>1200+3500+550+1100+1100+50+1000+1500+500+50</f>
        <v>10550</v>
      </c>
      <c r="C23" s="2">
        <f t="shared" si="0"/>
        <v>-591.64999999999964</v>
      </c>
      <c r="D23" s="1">
        <f>10704.39-3105.11+10133.76-2283.27</f>
        <v>15449.77</v>
      </c>
      <c r="E23" s="2">
        <f t="shared" si="1"/>
        <v>-5491.42</v>
      </c>
      <c r="F23" t="s">
        <v>54</v>
      </c>
      <c r="G23" s="41">
        <f>A23+'Jan Income'!A23-6.15</f>
        <v>23257.039999999997</v>
      </c>
      <c r="H23" s="10">
        <f>B23+'Jan Income'!B23</f>
        <v>30650</v>
      </c>
      <c r="I23" s="2">
        <f t="shared" si="2"/>
        <v>-7392.9600000000028</v>
      </c>
      <c r="J23" s="1">
        <f>D23+'Jan Income'!D23+6000</f>
        <v>47005.27</v>
      </c>
      <c r="K23" s="2">
        <f t="shared" si="3"/>
        <v>-23748.23</v>
      </c>
      <c r="N23" s="2"/>
    </row>
    <row r="24" spans="1:14" x14ac:dyDescent="0.35">
      <c r="A24" s="1">
        <f>22.24-4.72</f>
        <v>17.52</v>
      </c>
      <c r="B24" s="10">
        <f>100+1650</f>
        <v>1750</v>
      </c>
      <c r="C24" s="2">
        <f t="shared" si="0"/>
        <v>-1732.48</v>
      </c>
      <c r="D24" s="1">
        <f>880.88-0.83</f>
        <v>880.05</v>
      </c>
      <c r="E24" s="2">
        <f t="shared" si="1"/>
        <v>-862.53</v>
      </c>
      <c r="F24" t="s">
        <v>55</v>
      </c>
      <c r="G24" s="41">
        <f>A24+'Jan Income'!A24</f>
        <v>672.6</v>
      </c>
      <c r="H24" s="10">
        <f>B24+'Jan Income'!B24</f>
        <v>3500</v>
      </c>
      <c r="I24" s="2">
        <f t="shared" si="2"/>
        <v>-2827.4</v>
      </c>
      <c r="J24" s="1">
        <f>D24+'Jan Income'!D24</f>
        <v>3301.54</v>
      </c>
      <c r="K24" s="2">
        <f t="shared" si="3"/>
        <v>-2628.94</v>
      </c>
    </row>
    <row r="25" spans="1:14" x14ac:dyDescent="0.35">
      <c r="A25" s="1">
        <v>0</v>
      </c>
      <c r="B25" s="10">
        <v>80</v>
      </c>
      <c r="C25" s="2">
        <f t="shared" si="0"/>
        <v>-80</v>
      </c>
      <c r="D25" s="1">
        <v>0</v>
      </c>
      <c r="E25" s="2">
        <f t="shared" si="1"/>
        <v>0</v>
      </c>
      <c r="F25" t="s">
        <v>56</v>
      </c>
      <c r="G25" s="41">
        <f>A25+'Jan Income'!A25</f>
        <v>0</v>
      </c>
      <c r="H25" s="10">
        <f>B25+'Jan Income'!B25</f>
        <v>160</v>
      </c>
      <c r="I25" s="2">
        <f t="shared" si="2"/>
        <v>-160</v>
      </c>
      <c r="J25" s="1">
        <f>D25+'Jan Income'!D25</f>
        <v>0</v>
      </c>
      <c r="K25" s="2">
        <f t="shared" si="3"/>
        <v>0</v>
      </c>
    </row>
    <row r="26" spans="1:14" x14ac:dyDescent="0.35">
      <c r="A26" s="1">
        <f>83.97+12343.32+1919.31-5216.09</f>
        <v>9130.5099999999984</v>
      </c>
      <c r="B26" s="10">
        <f>5250+8000+1500-3000</f>
        <v>11750</v>
      </c>
      <c r="C26" s="2">
        <f t="shared" si="0"/>
        <v>-2619.4900000000016</v>
      </c>
      <c r="D26" s="1">
        <f>814.14+11121.83+6324.55-8247.73</f>
        <v>10012.790000000001</v>
      </c>
      <c r="E26" s="2">
        <f t="shared" si="1"/>
        <v>-882.28000000000247</v>
      </c>
      <c r="F26" t="s">
        <v>57</v>
      </c>
      <c r="G26" s="41">
        <f>A26+'Jan Income'!A26+217.95+32.68+5.45+59.93+10.1+0.3</f>
        <v>18800.769999999997</v>
      </c>
      <c r="H26" s="10">
        <f>B26+'Jan Income'!B26</f>
        <v>31000</v>
      </c>
      <c r="I26" s="2">
        <f t="shared" si="2"/>
        <v>-12199.230000000003</v>
      </c>
      <c r="J26" s="1">
        <f>D26+'Jan Income'!D26+6000</f>
        <v>25643.25</v>
      </c>
      <c r="K26" s="2">
        <f t="shared" si="3"/>
        <v>-6842.4800000000032</v>
      </c>
      <c r="N26" s="2"/>
    </row>
    <row r="27" spans="1:14" x14ac:dyDescent="0.35">
      <c r="A27" s="1">
        <f>8168.29-6654.5</f>
        <v>1513.79</v>
      </c>
      <c r="B27" s="10">
        <f>500+1000</f>
        <v>1500</v>
      </c>
      <c r="C27" s="2">
        <f t="shared" si="0"/>
        <v>13.789999999999964</v>
      </c>
      <c r="D27" s="1">
        <f>5091.21-108.32-3405.55</f>
        <v>1577.3400000000001</v>
      </c>
      <c r="E27" s="2">
        <f t="shared" si="1"/>
        <v>-63.550000000000182</v>
      </c>
      <c r="F27" t="s">
        <v>58</v>
      </c>
      <c r="G27" s="41">
        <f>A27+'Jan Income'!A27</f>
        <v>6668.22</v>
      </c>
      <c r="H27" s="10">
        <f>B27+'Jan Income'!B27</f>
        <v>5500</v>
      </c>
      <c r="I27" s="2">
        <f t="shared" si="2"/>
        <v>1168.2200000000003</v>
      </c>
      <c r="J27" s="1">
        <f>D27+'Jan Income'!D27+6000</f>
        <v>11423.6</v>
      </c>
      <c r="K27" s="2">
        <f t="shared" si="3"/>
        <v>-4755.38</v>
      </c>
    </row>
    <row r="28" spans="1:14" x14ac:dyDescent="0.35">
      <c r="A28" s="1">
        <v>0</v>
      </c>
      <c r="B28" s="10">
        <v>0</v>
      </c>
      <c r="C28" s="2">
        <f t="shared" si="0"/>
        <v>0</v>
      </c>
      <c r="D28" s="1">
        <f>108.32</f>
        <v>108.32</v>
      </c>
      <c r="E28" s="2">
        <f t="shared" si="1"/>
        <v>-108.32</v>
      </c>
      <c r="F28" t="s">
        <v>59</v>
      </c>
      <c r="G28" s="41">
        <f>A28+'Jan Income'!A28</f>
        <v>0</v>
      </c>
      <c r="H28" s="10">
        <f>B28+'Jan Income'!B28</f>
        <v>0</v>
      </c>
      <c r="I28" s="2">
        <f t="shared" si="2"/>
        <v>0</v>
      </c>
      <c r="J28" s="1">
        <f>D28+'Jan Income'!D28</f>
        <v>2884.04</v>
      </c>
      <c r="K28" s="2">
        <f t="shared" si="3"/>
        <v>-2884.04</v>
      </c>
    </row>
    <row r="29" spans="1:14" x14ac:dyDescent="0.35">
      <c r="A29" s="1">
        <f>6654.5</f>
        <v>6654.5</v>
      </c>
      <c r="B29" s="10">
        <f>3540</f>
        <v>3540</v>
      </c>
      <c r="C29" s="2">
        <f t="shared" si="0"/>
        <v>3114.5</v>
      </c>
      <c r="D29" s="1">
        <f>3405.55</f>
        <v>3405.55</v>
      </c>
      <c r="E29" s="2">
        <f t="shared" si="1"/>
        <v>3248.95</v>
      </c>
      <c r="F29" t="s">
        <v>2</v>
      </c>
      <c r="G29" s="41">
        <f>A29+'Jan Income'!A29</f>
        <v>15533.57</v>
      </c>
      <c r="H29" s="10">
        <f>B29+'Jan Income'!B29</f>
        <v>7100</v>
      </c>
      <c r="I29" s="2">
        <f t="shared" si="2"/>
        <v>8433.57</v>
      </c>
      <c r="J29" s="1">
        <f>D29+'Jan Income'!D29</f>
        <v>7488.49</v>
      </c>
      <c r="K29" s="2">
        <f t="shared" si="3"/>
        <v>8045.08</v>
      </c>
    </row>
    <row r="30" spans="1:14" x14ac:dyDescent="0.35">
      <c r="A30" s="1">
        <f>2197.21+2048.78+5184.46</f>
        <v>9430.4500000000007</v>
      </c>
      <c r="B30" s="10">
        <f>1750+1750+7834</f>
        <v>11334</v>
      </c>
      <c r="C30" s="2">
        <f t="shared" si="0"/>
        <v>-1903.5499999999993</v>
      </c>
      <c r="D30" s="1">
        <f>3105.11+2283.27+4414.78</f>
        <v>9803.16</v>
      </c>
      <c r="E30" s="2">
        <f t="shared" si="1"/>
        <v>-372.70999999999913</v>
      </c>
      <c r="F30" t="s">
        <v>3</v>
      </c>
      <c r="G30" s="41">
        <f>A30+'Jan Income'!A30</f>
        <v>18860.900000000001</v>
      </c>
      <c r="H30" s="10">
        <f>B30+'Jan Income'!B30</f>
        <v>22660</v>
      </c>
      <c r="I30" s="2">
        <f t="shared" si="2"/>
        <v>-3799.0999999999985</v>
      </c>
      <c r="J30" s="1">
        <f>D30+'Jan Income'!D30</f>
        <v>17378.129999999997</v>
      </c>
      <c r="K30" s="2">
        <f t="shared" si="3"/>
        <v>1482.7700000000041</v>
      </c>
    </row>
    <row r="31" spans="1:14" x14ac:dyDescent="0.35">
      <c r="A31" s="1">
        <f>3013.39</f>
        <v>3013.39</v>
      </c>
      <c r="B31" s="10">
        <v>3000</v>
      </c>
      <c r="C31" s="2">
        <f t="shared" si="0"/>
        <v>13.389999999999873</v>
      </c>
      <c r="D31" s="1">
        <f>2116.41+363.04+122.6</f>
        <v>2602.0499999999997</v>
      </c>
      <c r="E31" s="2">
        <f t="shared" si="1"/>
        <v>411.34000000000015</v>
      </c>
      <c r="F31" t="s">
        <v>4</v>
      </c>
      <c r="G31" s="41">
        <f>A31+'Jan Income'!A31+221.12</f>
        <v>6179.49</v>
      </c>
      <c r="H31" s="10">
        <f>B31+'Jan Income'!B31</f>
        <v>6000</v>
      </c>
      <c r="I31" s="2">
        <f t="shared" si="2"/>
        <v>179.48999999999978</v>
      </c>
      <c r="J31" s="1">
        <f>D31+'Jan Income'!D31+912.23</f>
        <v>5502.3799999999992</v>
      </c>
      <c r="K31" s="2">
        <f t="shared" si="3"/>
        <v>677.11000000000058</v>
      </c>
      <c r="N31" s="2"/>
    </row>
    <row r="32" spans="1:14" x14ac:dyDescent="0.35">
      <c r="A32" s="3">
        <f>4779.54+436.55</f>
        <v>5216.09</v>
      </c>
      <c r="B32" s="11">
        <f>6250</f>
        <v>6250</v>
      </c>
      <c r="C32" s="4">
        <f t="shared" si="0"/>
        <v>-1033.9099999999999</v>
      </c>
      <c r="D32" s="3">
        <f>454.12+20.3+18.3+7439.38+315.63</f>
        <v>8247.73</v>
      </c>
      <c r="E32" s="4">
        <f t="shared" si="1"/>
        <v>-3031.6399999999994</v>
      </c>
      <c r="F32" t="s">
        <v>60</v>
      </c>
      <c r="G32" s="41">
        <f>A32+'Jan Income'!A32</f>
        <v>9885.84</v>
      </c>
      <c r="H32" s="10">
        <f>B32+'Jan Income'!B32</f>
        <v>12500</v>
      </c>
      <c r="I32" s="4">
        <f t="shared" si="2"/>
        <v>-2614.16</v>
      </c>
      <c r="J32" s="1">
        <f>D32+'Jan Income'!D32</f>
        <v>21924.400000000001</v>
      </c>
      <c r="K32" s="4">
        <f t="shared" si="3"/>
        <v>-12038.560000000001</v>
      </c>
    </row>
    <row r="33" spans="1:11" x14ac:dyDescent="0.35">
      <c r="A33" s="1">
        <f>SUM(A21:A32)</f>
        <v>89476.079999999987</v>
      </c>
      <c r="B33" s="1">
        <f>SUM(B21:B32)</f>
        <v>103925</v>
      </c>
      <c r="C33" s="1">
        <f>SUM(C21:C32)</f>
        <v>-14448.919999999998</v>
      </c>
      <c r="D33" s="1">
        <f>SUM(D21:D32)</f>
        <v>121455.66000000002</v>
      </c>
      <c r="E33" s="1">
        <f>SUM(E21:E32)</f>
        <v>-31979.579999999987</v>
      </c>
      <c r="F33" t="s">
        <v>21</v>
      </c>
      <c r="G33" s="43">
        <f>SUM(G21:G32)</f>
        <v>189787.36</v>
      </c>
      <c r="H33" s="43">
        <f>SUM(H21:H32)</f>
        <v>227411</v>
      </c>
      <c r="I33" s="1">
        <f>SUM(I21:I32)</f>
        <v>-37623.64</v>
      </c>
      <c r="J33" s="8">
        <f>SUM(J21:J32)</f>
        <v>298674.57</v>
      </c>
      <c r="K33" s="1">
        <f>SUM(K21:K32)</f>
        <v>-108887.20999999999</v>
      </c>
    </row>
    <row r="34" spans="1:11" x14ac:dyDescent="0.35">
      <c r="A34" s="1"/>
      <c r="C34" s="2"/>
      <c r="E34" s="2"/>
      <c r="G34" s="41"/>
      <c r="H34" s="10"/>
      <c r="I34" s="2"/>
      <c r="K34" s="2"/>
    </row>
    <row r="35" spans="1:11" x14ac:dyDescent="0.35">
      <c r="A35" s="1">
        <f>A18-A33</f>
        <v>-77351.719999999987</v>
      </c>
      <c r="B35" s="1">
        <f>B18-B33</f>
        <v>-70484</v>
      </c>
      <c r="C35" s="1">
        <f>C18-C33</f>
        <v>-6867.7200000000012</v>
      </c>
      <c r="D35" s="1">
        <f>D18-D33</f>
        <v>-82537.550000000017</v>
      </c>
      <c r="E35" s="1">
        <f>E18-E33</f>
        <v>5185.8299999999908</v>
      </c>
      <c r="F35" t="s">
        <v>18</v>
      </c>
      <c r="G35" s="41">
        <f>G18-G33</f>
        <v>-168856.83999999997</v>
      </c>
      <c r="H35" s="41">
        <f>H18-H33</f>
        <v>-176369</v>
      </c>
      <c r="I35" s="9">
        <f>I18-I33</f>
        <v>7512.1600000000035</v>
      </c>
      <c r="J35" s="1">
        <f>J18-J33</f>
        <v>-228343.74000000002</v>
      </c>
      <c r="K35" s="1">
        <f>K18-K33</f>
        <v>59486.9</v>
      </c>
    </row>
    <row r="36" spans="1:11" x14ac:dyDescent="0.35">
      <c r="A36" s="1"/>
      <c r="B36" s="10"/>
      <c r="C36" s="2"/>
      <c r="E36" s="2"/>
      <c r="G36" s="41"/>
      <c r="H36" s="10"/>
      <c r="I36" s="2"/>
      <c r="K36" s="2"/>
    </row>
    <row r="37" spans="1:11" x14ac:dyDescent="0.35">
      <c r="A37" s="1">
        <f>63405.38+67882.41</f>
        <v>131287.79</v>
      </c>
      <c r="B37" s="10">
        <f>4500+60058</f>
        <v>64558</v>
      </c>
      <c r="C37" s="2">
        <f>+A37-B37</f>
        <v>66729.790000000008</v>
      </c>
      <c r="D37" s="1">
        <f>214.95+347+51356.67+3111+5727.65</f>
        <v>60757.27</v>
      </c>
      <c r="E37" s="2">
        <f>+A37-D37</f>
        <v>70530.520000000019</v>
      </c>
      <c r="F37" t="s">
        <v>61</v>
      </c>
      <c r="G37" s="41">
        <f>A37+'Jan Income'!A37</f>
        <v>316675.34999999998</v>
      </c>
      <c r="H37" s="10">
        <f>B37+'Jan Income'!B37</f>
        <v>141158</v>
      </c>
      <c r="I37" s="2">
        <f>+G37-H37</f>
        <v>175517.34999999998</v>
      </c>
      <c r="J37" s="1">
        <f>D37+'Jan Income'!D37</f>
        <v>129970.53</v>
      </c>
      <c r="K37" s="2">
        <f>+G37-J37</f>
        <v>186704.81999999998</v>
      </c>
    </row>
    <row r="38" spans="1:11" x14ac:dyDescent="0.35">
      <c r="A38" s="3">
        <v>345.42</v>
      </c>
      <c r="B38" s="11">
        <v>2100</v>
      </c>
      <c r="C38" s="4">
        <f>+A38-B38</f>
        <v>-1754.58</v>
      </c>
      <c r="D38" s="3">
        <v>1365.84</v>
      </c>
      <c r="E38" s="4">
        <f>+A38-D38</f>
        <v>-1020.4199999999998</v>
      </c>
      <c r="F38" t="s">
        <v>19</v>
      </c>
      <c r="G38" s="41">
        <f>A38+'Jan Income'!A38</f>
        <v>811.26</v>
      </c>
      <c r="H38" s="10">
        <f>B38+'Jan Income'!B38</f>
        <v>4200</v>
      </c>
      <c r="I38" s="4">
        <f>+G38-H38</f>
        <v>-3388.74</v>
      </c>
      <c r="J38" s="1">
        <f>D38+'Jan Income'!D38</f>
        <v>2441.6899999999996</v>
      </c>
      <c r="K38" s="4">
        <f>+G38-J38</f>
        <v>-1630.4299999999996</v>
      </c>
    </row>
    <row r="39" spans="1:11" x14ac:dyDescent="0.35">
      <c r="A39" s="1">
        <f>+A37+A38</f>
        <v>131633.21000000002</v>
      </c>
      <c r="B39" s="1">
        <f>+B37+B38</f>
        <v>66658</v>
      </c>
      <c r="C39" s="1">
        <f>+C37+C38</f>
        <v>64975.210000000006</v>
      </c>
      <c r="D39" s="1">
        <f>+D37+D38</f>
        <v>62123.109999999993</v>
      </c>
      <c r="E39" s="1">
        <f>+E37+E38</f>
        <v>69510.10000000002</v>
      </c>
      <c r="F39" t="s">
        <v>20</v>
      </c>
      <c r="G39" s="43">
        <f>+G37+G38</f>
        <v>317486.61</v>
      </c>
      <c r="H39" s="43">
        <f>+H37+H38</f>
        <v>145358</v>
      </c>
      <c r="I39" s="1">
        <f>+I37+I38</f>
        <v>172128.61</v>
      </c>
      <c r="J39" s="8">
        <f>+J37+J38</f>
        <v>132412.22</v>
      </c>
      <c r="K39" s="1">
        <f>+K37+K38</f>
        <v>185074.38999999998</v>
      </c>
    </row>
    <row r="40" spans="1:11" x14ac:dyDescent="0.35">
      <c r="A40" s="1"/>
      <c r="C40" s="2"/>
      <c r="E40" s="2"/>
      <c r="G40" s="41"/>
      <c r="H40" s="10"/>
      <c r="I40" s="2"/>
      <c r="K40" s="2"/>
    </row>
    <row r="41" spans="1:11" x14ac:dyDescent="0.35">
      <c r="A41" s="1"/>
      <c r="C41" s="2"/>
      <c r="E41" s="2"/>
      <c r="G41" s="41"/>
      <c r="H41" s="10"/>
      <c r="I41" s="2"/>
      <c r="K41" s="2"/>
    </row>
    <row r="42" spans="1:11" x14ac:dyDescent="0.35">
      <c r="A42" s="3">
        <f>A35+A39</f>
        <v>54281.490000000034</v>
      </c>
      <c r="B42" s="3">
        <f t="shared" ref="B42:E42" si="4">B35+B39</f>
        <v>-3826</v>
      </c>
      <c r="C42" s="3">
        <f t="shared" si="4"/>
        <v>58107.490000000005</v>
      </c>
      <c r="D42" s="3">
        <f>D35+D39</f>
        <v>-20414.440000000024</v>
      </c>
      <c r="E42" s="3">
        <f t="shared" si="4"/>
        <v>74695.930000000008</v>
      </c>
      <c r="F42" s="14" t="s">
        <v>50</v>
      </c>
      <c r="G42" s="42">
        <f t="shared" ref="G42:J42" si="5">G35+G39</f>
        <v>148629.77000000002</v>
      </c>
      <c r="H42" s="42">
        <f t="shared" si="5"/>
        <v>-31011</v>
      </c>
      <c r="I42" s="3">
        <f>+I35+I39</f>
        <v>179640.77</v>
      </c>
      <c r="J42" s="3">
        <f t="shared" si="5"/>
        <v>-95931.520000000019</v>
      </c>
      <c r="K42" s="3">
        <f t="shared" ref="K42" si="6">K35+K39</f>
        <v>244561.28999999998</v>
      </c>
    </row>
    <row r="43" spans="1:11" x14ac:dyDescent="0.35">
      <c r="D43"/>
      <c r="G43" s="41"/>
      <c r="H43" s="10"/>
    </row>
    <row r="44" spans="1:11" ht="15" thickBot="1" x14ac:dyDescent="0.4">
      <c r="A44" s="9">
        <v>16772.580000000002</v>
      </c>
      <c r="B44" s="9">
        <v>14567</v>
      </c>
      <c r="C44" s="9">
        <f>A44-B44</f>
        <v>2205.5800000000017</v>
      </c>
      <c r="D44" s="9">
        <v>18905.419999999998</v>
      </c>
      <c r="E44" s="13">
        <f t="shared" ref="E44:E45" si="7">+A44-D44</f>
        <v>-2132.8399999999965</v>
      </c>
      <c r="F44" t="s">
        <v>22</v>
      </c>
      <c r="G44" s="44">
        <f>A44+'Jan Income'!A44</f>
        <v>33545.160000000003</v>
      </c>
      <c r="H44" s="44">
        <f>B44+'Jan Income'!B44</f>
        <v>29130</v>
      </c>
      <c r="I44" s="13">
        <f t="shared" ref="I44" si="8">+G44-H44</f>
        <v>4415.1600000000035</v>
      </c>
      <c r="J44" s="10">
        <f t="shared" ref="J44" si="9">D44</f>
        <v>18905.419999999998</v>
      </c>
      <c r="K44" s="13">
        <f t="shared" ref="K44" si="10">+G44-J44</f>
        <v>14639.740000000005</v>
      </c>
    </row>
    <row r="45" spans="1:11" ht="15" thickBot="1" x14ac:dyDescent="0.4">
      <c r="A45" s="16">
        <f>A42-A44</f>
        <v>37508.910000000033</v>
      </c>
      <c r="B45" s="16">
        <f>B42-B44</f>
        <v>-18393</v>
      </c>
      <c r="C45" s="17">
        <f t="shared" ref="C45" si="11">+A45-B45</f>
        <v>55901.910000000033</v>
      </c>
      <c r="D45" s="16">
        <f>D42-D44</f>
        <v>-39319.860000000022</v>
      </c>
      <c r="E45" s="17">
        <f t="shared" si="7"/>
        <v>76828.770000000048</v>
      </c>
      <c r="F45" s="14" t="s">
        <v>5</v>
      </c>
      <c r="G45" s="45">
        <f>G42-G44</f>
        <v>115084.61000000002</v>
      </c>
      <c r="H45" s="45">
        <f>H42-H44</f>
        <v>-60141</v>
      </c>
      <c r="I45" s="16">
        <f t="shared" ref="I45:K45" si="12">I42-I44</f>
        <v>175225.61</v>
      </c>
      <c r="J45" s="16">
        <f>J42-J44</f>
        <v>-114836.94000000002</v>
      </c>
      <c r="K45" s="16">
        <f t="shared" si="12"/>
        <v>229921.55</v>
      </c>
    </row>
    <row r="46" spans="1:11" ht="15" thickTop="1" x14ac:dyDescent="0.35">
      <c r="G46" s="46"/>
    </row>
  </sheetData>
  <pageMargins left="0.7" right="0.7" top="0.75" bottom="0.75" header="0.3" footer="0.3"/>
  <pageSetup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9"/>
  <sheetViews>
    <sheetView workbookViewId="0">
      <selection sqref="A1:XFD1048576"/>
    </sheetView>
  </sheetViews>
  <sheetFormatPr defaultRowHeight="14.5" x14ac:dyDescent="0.35"/>
  <cols>
    <col min="1" max="1" width="11.54296875" customWidth="1"/>
    <col min="6" max="6" width="25" customWidth="1"/>
  </cols>
  <sheetData>
    <row r="1" spans="1:11" x14ac:dyDescent="0.35">
      <c r="A1" t="s">
        <v>47</v>
      </c>
    </row>
    <row r="2" spans="1:11" x14ac:dyDescent="0.35">
      <c r="A2" t="s">
        <v>43</v>
      </c>
    </row>
    <row r="3" spans="1:11" x14ac:dyDescent="0.35">
      <c r="A3" s="7">
        <v>43890</v>
      </c>
    </row>
    <row r="5" spans="1:11" x14ac:dyDescent="0.35">
      <c r="A5" t="s">
        <v>10</v>
      </c>
      <c r="B5" t="s">
        <v>10</v>
      </c>
      <c r="D5" s="1" t="s">
        <v>11</v>
      </c>
      <c r="G5" t="s">
        <v>10</v>
      </c>
      <c r="H5" t="s">
        <v>10</v>
      </c>
      <c r="J5" s="1" t="s">
        <v>11</v>
      </c>
    </row>
    <row r="6" spans="1:11" x14ac:dyDescent="0.35">
      <c r="A6" t="s">
        <v>6</v>
      </c>
      <c r="B6" t="s">
        <v>6</v>
      </c>
      <c r="C6" t="s">
        <v>9</v>
      </c>
      <c r="D6" s="1" t="s">
        <v>6</v>
      </c>
      <c r="E6" t="s">
        <v>9</v>
      </c>
      <c r="G6" t="s">
        <v>12</v>
      </c>
      <c r="H6" t="s">
        <v>12</v>
      </c>
      <c r="I6" t="s">
        <v>9</v>
      </c>
      <c r="J6" s="1" t="s">
        <v>12</v>
      </c>
      <c r="K6" t="s">
        <v>9</v>
      </c>
    </row>
    <row r="7" spans="1:11" x14ac:dyDescent="0.35">
      <c r="A7" t="s">
        <v>7</v>
      </c>
      <c r="B7" t="s">
        <v>8</v>
      </c>
      <c r="D7" s="1" t="s">
        <v>7</v>
      </c>
      <c r="G7" t="s">
        <v>7</v>
      </c>
      <c r="H7" t="s">
        <v>8</v>
      </c>
      <c r="J7" s="1" t="s">
        <v>7</v>
      </c>
    </row>
    <row r="8" spans="1:11" ht="15.5" x14ac:dyDescent="0.35">
      <c r="D8" s="1"/>
      <c r="F8" s="39" t="s">
        <v>44</v>
      </c>
      <c r="J8" s="1"/>
    </row>
    <row r="9" spans="1:11" x14ac:dyDescent="0.35">
      <c r="A9" s="36">
        <v>0</v>
      </c>
      <c r="B9" s="37">
        <v>0</v>
      </c>
      <c r="C9" s="37">
        <f t="shared" ref="C9:C29" si="0">+A9-B9</f>
        <v>0</v>
      </c>
      <c r="D9" s="5">
        <v>1</v>
      </c>
      <c r="E9" s="37">
        <f t="shared" ref="E9:E29" si="1">+A9-D9</f>
        <v>-1</v>
      </c>
      <c r="F9" t="s">
        <v>24</v>
      </c>
      <c r="G9" s="36">
        <f>A9+'Jan Statistics'!A9</f>
        <v>0</v>
      </c>
      <c r="H9" s="37">
        <f>B9+'Jan Statistics'!B9</f>
        <v>0</v>
      </c>
      <c r="I9" s="37">
        <f>+G9-H9</f>
        <v>0</v>
      </c>
      <c r="J9" s="5">
        <f>'[1]Jan Statistics'!D9+'[1]Feb Statistics'!D9</f>
        <v>0</v>
      </c>
      <c r="K9" s="37">
        <f>+G9-J9</f>
        <v>0</v>
      </c>
    </row>
    <row r="10" spans="1:11" x14ac:dyDescent="0.35">
      <c r="A10" s="36">
        <v>0</v>
      </c>
      <c r="B10" s="37">
        <v>0</v>
      </c>
      <c r="C10" s="37">
        <f t="shared" si="0"/>
        <v>0</v>
      </c>
      <c r="D10" s="5">
        <v>0</v>
      </c>
      <c r="E10" s="37">
        <f t="shared" si="1"/>
        <v>0</v>
      </c>
      <c r="F10" t="s">
        <v>25</v>
      </c>
      <c r="G10" s="36">
        <f>A10+'Jan Statistics'!A10</f>
        <v>0</v>
      </c>
      <c r="H10" s="37">
        <f>B10+'Jan Statistics'!B10</f>
        <v>0</v>
      </c>
      <c r="I10" s="37">
        <f t="shared" ref="I10:I27" si="2">+G10-H10</f>
        <v>0</v>
      </c>
      <c r="J10" s="5">
        <f>'[1]Jan Statistics'!D10+'[1]Feb Statistics'!D10</f>
        <v>0</v>
      </c>
      <c r="K10" s="37">
        <f t="shared" ref="K10:K27" si="3">+G10-J10</f>
        <v>0</v>
      </c>
    </row>
    <row r="11" spans="1:11" x14ac:dyDescent="0.35">
      <c r="A11" s="36">
        <v>0</v>
      </c>
      <c r="B11" s="37">
        <v>0</v>
      </c>
      <c r="C11" s="37">
        <f t="shared" si="0"/>
        <v>0</v>
      </c>
      <c r="D11" s="5">
        <v>0</v>
      </c>
      <c r="E11" s="37">
        <f t="shared" si="1"/>
        <v>0</v>
      </c>
      <c r="F11" t="s">
        <v>26</v>
      </c>
      <c r="G11" s="36">
        <f>A11+'Jan Statistics'!A11</f>
        <v>0</v>
      </c>
      <c r="H11" s="37">
        <f>B11+'Jan Statistics'!B11</f>
        <v>0</v>
      </c>
      <c r="I11" s="37">
        <f t="shared" si="2"/>
        <v>0</v>
      </c>
      <c r="J11" s="5">
        <f>'[1]Jan Statistics'!D11+'[1]Feb Statistics'!D11</f>
        <v>0</v>
      </c>
      <c r="K11" s="37">
        <f t="shared" si="3"/>
        <v>0</v>
      </c>
    </row>
    <row r="12" spans="1:11" x14ac:dyDescent="0.35">
      <c r="A12" s="36">
        <v>0</v>
      </c>
      <c r="B12" s="37">
        <v>0</v>
      </c>
      <c r="C12" s="37">
        <f t="shared" si="0"/>
        <v>0</v>
      </c>
      <c r="D12" s="5">
        <v>0</v>
      </c>
      <c r="E12" s="37">
        <f t="shared" si="1"/>
        <v>0</v>
      </c>
      <c r="F12" t="s">
        <v>27</v>
      </c>
      <c r="G12" s="36">
        <f>A12+'Jan Statistics'!A12</f>
        <v>0</v>
      </c>
      <c r="H12" s="37">
        <f>B12+'Jan Statistics'!B12</f>
        <v>0</v>
      </c>
      <c r="I12" s="37">
        <f t="shared" si="2"/>
        <v>0</v>
      </c>
      <c r="J12" s="5">
        <f>'[1]Jan Statistics'!D12+'[1]Feb Statistics'!D12</f>
        <v>0</v>
      </c>
      <c r="K12" s="37">
        <f t="shared" si="3"/>
        <v>0</v>
      </c>
    </row>
    <row r="13" spans="1:11" x14ac:dyDescent="0.35">
      <c r="A13" s="36">
        <v>1</v>
      </c>
      <c r="B13" s="37">
        <v>5</v>
      </c>
      <c r="C13" s="37">
        <f t="shared" si="0"/>
        <v>-4</v>
      </c>
      <c r="D13" s="5">
        <v>6</v>
      </c>
      <c r="E13" s="37">
        <f t="shared" si="1"/>
        <v>-5</v>
      </c>
      <c r="F13" t="s">
        <v>28</v>
      </c>
      <c r="G13" s="36">
        <f>A13+'Jan Statistics'!A13</f>
        <v>1</v>
      </c>
      <c r="H13" s="37">
        <f>B13+'Jan Statistics'!B13</f>
        <v>6</v>
      </c>
      <c r="I13" s="37">
        <f t="shared" si="2"/>
        <v>-5</v>
      </c>
      <c r="J13" s="5">
        <f>'[1]Jan Statistics'!D13+'[1]Feb Statistics'!D13</f>
        <v>2</v>
      </c>
      <c r="K13" s="37">
        <f t="shared" si="3"/>
        <v>-1</v>
      </c>
    </row>
    <row r="14" spans="1:11" x14ac:dyDescent="0.35">
      <c r="A14" s="36">
        <v>16</v>
      </c>
      <c r="B14" s="37">
        <v>200</v>
      </c>
      <c r="C14" s="37">
        <f t="shared" si="0"/>
        <v>-184</v>
      </c>
      <c r="D14" s="5">
        <v>199</v>
      </c>
      <c r="E14" s="37">
        <f t="shared" si="1"/>
        <v>-183</v>
      </c>
      <c r="F14" t="s">
        <v>29</v>
      </c>
      <c r="G14" s="36">
        <f>A14+'Jan Statistics'!A14</f>
        <v>16</v>
      </c>
      <c r="H14" s="37">
        <f>B14+'Jan Statistics'!B14</f>
        <v>230</v>
      </c>
      <c r="I14" s="37">
        <f t="shared" si="2"/>
        <v>-214</v>
      </c>
      <c r="J14" s="5">
        <f>'[1]Jan Statistics'!D14+'[1]Feb Statistics'!D14</f>
        <v>75</v>
      </c>
      <c r="K14" s="37">
        <f t="shared" si="3"/>
        <v>-59</v>
      </c>
    </row>
    <row r="15" spans="1:11" x14ac:dyDescent="0.35">
      <c r="A15" s="36">
        <v>0</v>
      </c>
      <c r="B15" s="37">
        <v>0</v>
      </c>
      <c r="C15" s="37">
        <f t="shared" si="0"/>
        <v>0</v>
      </c>
      <c r="D15" s="5">
        <v>1</v>
      </c>
      <c r="E15" s="37">
        <f t="shared" si="1"/>
        <v>-1</v>
      </c>
      <c r="F15" t="s">
        <v>30</v>
      </c>
      <c r="G15" s="36">
        <f>A15+'Jan Statistics'!A15</f>
        <v>0</v>
      </c>
      <c r="H15" s="37">
        <f>B15+'Jan Statistics'!B15</f>
        <v>0</v>
      </c>
      <c r="I15" s="37">
        <f t="shared" si="2"/>
        <v>0</v>
      </c>
      <c r="J15" s="5">
        <f>'[1]Jan Statistics'!D15+'[1]Feb Statistics'!D15</f>
        <v>5</v>
      </c>
      <c r="K15" s="37">
        <f t="shared" si="3"/>
        <v>-5</v>
      </c>
    </row>
    <row r="16" spans="1:11" x14ac:dyDescent="0.35">
      <c r="A16" s="36">
        <v>0</v>
      </c>
      <c r="B16" s="37">
        <v>0</v>
      </c>
      <c r="C16" s="37">
        <f t="shared" si="0"/>
        <v>0</v>
      </c>
      <c r="D16" s="5">
        <v>86</v>
      </c>
      <c r="E16" s="37">
        <f t="shared" si="1"/>
        <v>-86</v>
      </c>
      <c r="F16" t="s">
        <v>31</v>
      </c>
      <c r="G16" s="36">
        <f>A16+'Jan Statistics'!A16</f>
        <v>0</v>
      </c>
      <c r="H16" s="37">
        <f>B16+'Jan Statistics'!B16</f>
        <v>0</v>
      </c>
      <c r="I16" s="37">
        <f t="shared" si="2"/>
        <v>0</v>
      </c>
      <c r="J16" s="5">
        <f>'[1]Jan Statistics'!D16+'[1]Feb Statistics'!D16</f>
        <v>118</v>
      </c>
      <c r="K16" s="37">
        <f t="shared" si="3"/>
        <v>-118</v>
      </c>
    </row>
    <row r="17" spans="1:11" x14ac:dyDescent="0.35">
      <c r="A17" s="36">
        <v>0</v>
      </c>
      <c r="B17" s="36">
        <v>0</v>
      </c>
      <c r="C17" s="37">
        <f t="shared" si="0"/>
        <v>0</v>
      </c>
      <c r="D17" s="5">
        <v>0</v>
      </c>
      <c r="E17" s="37">
        <f t="shared" si="1"/>
        <v>0</v>
      </c>
      <c r="F17" t="s">
        <v>32</v>
      </c>
      <c r="G17" s="36">
        <f>A17+'Jan Statistics'!A17</f>
        <v>0</v>
      </c>
      <c r="H17" s="37">
        <f>B17+'Jan Statistics'!B17</f>
        <v>0</v>
      </c>
      <c r="I17" s="37">
        <f t="shared" si="2"/>
        <v>0</v>
      </c>
      <c r="J17" s="5">
        <f>'[1]Jan Statistics'!D17+'[1]Feb Statistics'!D17</f>
        <v>3</v>
      </c>
      <c r="K17" s="37">
        <f t="shared" si="3"/>
        <v>-3</v>
      </c>
    </row>
    <row r="18" spans="1:11" x14ac:dyDescent="0.35">
      <c r="A18" s="36">
        <v>0</v>
      </c>
      <c r="B18" s="36">
        <v>0</v>
      </c>
      <c r="C18" s="37">
        <f t="shared" si="0"/>
        <v>0</v>
      </c>
      <c r="D18" s="5">
        <v>0</v>
      </c>
      <c r="E18" s="37">
        <f t="shared" si="1"/>
        <v>0</v>
      </c>
      <c r="F18" t="s">
        <v>33</v>
      </c>
      <c r="G18" s="36">
        <f>A18+'Jan Statistics'!A18</f>
        <v>0</v>
      </c>
      <c r="H18" s="37">
        <f>B18+'Jan Statistics'!B18</f>
        <v>0</v>
      </c>
      <c r="I18" s="37">
        <f t="shared" si="2"/>
        <v>0</v>
      </c>
      <c r="J18" s="5">
        <f>'[1]Jan Statistics'!D18+'[1]Feb Statistics'!D18</f>
        <v>40</v>
      </c>
      <c r="K18" s="37">
        <f t="shared" si="3"/>
        <v>-40</v>
      </c>
    </row>
    <row r="19" spans="1:11" x14ac:dyDescent="0.35">
      <c r="A19" s="36">
        <v>0</v>
      </c>
      <c r="B19" s="36">
        <v>2</v>
      </c>
      <c r="C19" s="37">
        <f t="shared" si="0"/>
        <v>-2</v>
      </c>
      <c r="D19" s="5">
        <v>4</v>
      </c>
      <c r="E19" s="37">
        <f t="shared" si="1"/>
        <v>-4</v>
      </c>
      <c r="F19" t="s">
        <v>34</v>
      </c>
      <c r="G19" s="36">
        <f>A19+'Jan Statistics'!A19</f>
        <v>0</v>
      </c>
      <c r="H19" s="37">
        <f>B19+'Jan Statistics'!B19</f>
        <v>2</v>
      </c>
      <c r="I19" s="37">
        <f t="shared" si="2"/>
        <v>-2</v>
      </c>
      <c r="J19" s="5">
        <f>'[1]Jan Statistics'!D19+'[1]Feb Statistics'!D19</f>
        <v>8</v>
      </c>
      <c r="K19" s="37">
        <f t="shared" si="3"/>
        <v>-8</v>
      </c>
    </row>
    <row r="20" spans="1:11" x14ac:dyDescent="0.35">
      <c r="A20" s="36">
        <v>0</v>
      </c>
      <c r="B20" s="36">
        <v>80</v>
      </c>
      <c r="C20" s="37">
        <f t="shared" si="0"/>
        <v>-80</v>
      </c>
      <c r="D20" s="5">
        <v>139</v>
      </c>
      <c r="E20" s="37">
        <f t="shared" si="1"/>
        <v>-139</v>
      </c>
      <c r="F20" t="s">
        <v>35</v>
      </c>
      <c r="G20" s="36">
        <f>A20+'Jan Statistics'!A20</f>
        <v>0</v>
      </c>
      <c r="H20" s="37">
        <f>B20+'Jan Statistics'!B20</f>
        <v>80</v>
      </c>
      <c r="I20" s="37">
        <f t="shared" si="2"/>
        <v>-80</v>
      </c>
      <c r="J20" s="5">
        <f>'[1]Jan Statistics'!D20+'[1]Feb Statistics'!D20</f>
        <v>278</v>
      </c>
      <c r="K20" s="37">
        <f t="shared" si="3"/>
        <v>-278</v>
      </c>
    </row>
    <row r="21" spans="1:11" x14ac:dyDescent="0.35">
      <c r="A21" s="36">
        <v>0</v>
      </c>
      <c r="B21" s="36">
        <v>2</v>
      </c>
      <c r="C21" s="37">
        <f t="shared" si="0"/>
        <v>-2</v>
      </c>
      <c r="D21" s="5">
        <v>13</v>
      </c>
      <c r="E21" s="37">
        <f t="shared" si="1"/>
        <v>-13</v>
      </c>
      <c r="F21" t="s">
        <v>36</v>
      </c>
      <c r="G21" s="36">
        <f>A21+'Jan Statistics'!A21</f>
        <v>0</v>
      </c>
      <c r="H21" s="37">
        <f>B21+'Jan Statistics'!B21</f>
        <v>2</v>
      </c>
      <c r="I21" s="37">
        <f t="shared" si="2"/>
        <v>-2</v>
      </c>
      <c r="J21" s="5">
        <f>'[1]Jan Statistics'!D21+'[1]Feb Statistics'!D21</f>
        <v>13</v>
      </c>
      <c r="K21" s="37">
        <f t="shared" si="3"/>
        <v>-13</v>
      </c>
    </row>
    <row r="22" spans="1:11" x14ac:dyDescent="0.35">
      <c r="A22" s="36">
        <v>0</v>
      </c>
      <c r="B22" s="36">
        <v>69</v>
      </c>
      <c r="C22" s="37">
        <f t="shared" si="0"/>
        <v>-69</v>
      </c>
      <c r="D22" s="5">
        <v>377</v>
      </c>
      <c r="E22" s="37">
        <f t="shared" si="1"/>
        <v>-377</v>
      </c>
      <c r="F22" t="s">
        <v>37</v>
      </c>
      <c r="G22" s="36">
        <f>A22+'Jan Statistics'!A22</f>
        <v>0</v>
      </c>
      <c r="H22" s="37">
        <f>B22+'Jan Statistics'!B22</f>
        <v>69</v>
      </c>
      <c r="I22" s="37">
        <f t="shared" si="2"/>
        <v>-69</v>
      </c>
      <c r="J22" s="5">
        <f>'[1]Jan Statistics'!D22+'[1]Feb Statistics'!D22</f>
        <v>408</v>
      </c>
      <c r="K22" s="37">
        <f t="shared" si="3"/>
        <v>-408</v>
      </c>
    </row>
    <row r="23" spans="1:11" x14ac:dyDescent="0.35">
      <c r="A23" s="36">
        <f>A9+A11+A13+A15+A17+A21</f>
        <v>1</v>
      </c>
      <c r="B23" s="36">
        <f t="shared" ref="B23:E24" si="4">B9+B11+B13+B15+B17+B21</f>
        <v>7</v>
      </c>
      <c r="C23" s="36">
        <f t="shared" si="4"/>
        <v>-6</v>
      </c>
      <c r="D23" s="5">
        <f>D9+D11+D13+D15+D19+D21+D17</f>
        <v>25</v>
      </c>
      <c r="E23" s="36">
        <f t="shared" si="4"/>
        <v>-20</v>
      </c>
      <c r="F23" s="32" t="s">
        <v>40</v>
      </c>
      <c r="G23" s="36">
        <f>G9+G11+G13+G15+G17+G21</f>
        <v>1</v>
      </c>
      <c r="H23" s="36">
        <f>H9+H11+H13+H15+H17+H21</f>
        <v>8</v>
      </c>
      <c r="I23" s="37">
        <f t="shared" si="2"/>
        <v>-7</v>
      </c>
      <c r="J23" s="5">
        <f>'[1]Jan Statistics'!D23+'[1]Feb Statistics'!D23</f>
        <v>31</v>
      </c>
      <c r="K23" s="37">
        <f t="shared" si="3"/>
        <v>-30</v>
      </c>
    </row>
    <row r="24" spans="1:11" x14ac:dyDescent="0.35">
      <c r="A24" s="36">
        <f>A10+A12+A14+A16+A18+A22</f>
        <v>16</v>
      </c>
      <c r="B24" s="36">
        <f t="shared" si="4"/>
        <v>269</v>
      </c>
      <c r="C24" s="36">
        <f t="shared" si="4"/>
        <v>-253</v>
      </c>
      <c r="D24" s="5">
        <f>D10+D12+D14+D16+D18+D20+D22</f>
        <v>801</v>
      </c>
      <c r="E24" s="36">
        <f t="shared" si="4"/>
        <v>-646</v>
      </c>
      <c r="F24" s="32" t="s">
        <v>41</v>
      </c>
      <c r="G24" s="36">
        <f>G10+G12+G14+G16+G18+G22</f>
        <v>16</v>
      </c>
      <c r="H24" s="36">
        <f>H10+H12+H14+H16+H18+H22</f>
        <v>299</v>
      </c>
      <c r="I24" s="37">
        <f t="shared" si="2"/>
        <v>-283</v>
      </c>
      <c r="J24" s="5">
        <f>'[1]Jan Statistics'!D24+'[1]Feb Statistics'!D24</f>
        <v>919</v>
      </c>
      <c r="K24" s="37">
        <f t="shared" si="3"/>
        <v>-903</v>
      </c>
    </row>
    <row r="25" spans="1:11" x14ac:dyDescent="0.35">
      <c r="A25" s="36">
        <v>19</v>
      </c>
      <c r="B25" s="36">
        <v>100</v>
      </c>
      <c r="C25" s="37">
        <f t="shared" si="0"/>
        <v>-81</v>
      </c>
      <c r="D25" s="5">
        <v>3635</v>
      </c>
      <c r="E25" s="37">
        <f t="shared" si="1"/>
        <v>-3616</v>
      </c>
      <c r="F25" t="s">
        <v>39</v>
      </c>
      <c r="G25" s="36">
        <f>A25+'Jan Statistics'!A25</f>
        <v>19</v>
      </c>
      <c r="H25" s="37">
        <f>B25+'Jan Statistics'!B25</f>
        <v>150</v>
      </c>
      <c r="I25" s="37">
        <f t="shared" si="2"/>
        <v>-131</v>
      </c>
      <c r="J25" s="5">
        <f>'[1]Jan Statistics'!D25+'[1]Feb Statistics'!D25</f>
        <v>3539</v>
      </c>
      <c r="K25" s="37">
        <f t="shared" si="3"/>
        <v>-3520</v>
      </c>
    </row>
    <row r="26" spans="1:11" x14ac:dyDescent="0.35">
      <c r="A26" s="36">
        <f>A24+A25</f>
        <v>35</v>
      </c>
      <c r="B26" s="36">
        <f t="shared" ref="B26:E26" si="5">B24+B25</f>
        <v>369</v>
      </c>
      <c r="C26" s="36">
        <f t="shared" si="5"/>
        <v>-334</v>
      </c>
      <c r="D26" s="5">
        <f>D24+D25</f>
        <v>4436</v>
      </c>
      <c r="E26" s="36">
        <f t="shared" si="5"/>
        <v>-4262</v>
      </c>
      <c r="F26" s="32" t="s">
        <v>42</v>
      </c>
      <c r="G26" s="36">
        <f>G24+G25</f>
        <v>35</v>
      </c>
      <c r="H26" s="36">
        <f>H24+H25</f>
        <v>449</v>
      </c>
      <c r="I26" s="37">
        <f t="shared" si="2"/>
        <v>-414</v>
      </c>
      <c r="J26" s="5">
        <f>'[1]Jan Statistics'!D26+'[1]Feb Statistics'!D26</f>
        <v>4458</v>
      </c>
      <c r="K26" s="37">
        <f t="shared" si="3"/>
        <v>-4423</v>
      </c>
    </row>
    <row r="27" spans="1:11" x14ac:dyDescent="0.35">
      <c r="A27" s="36">
        <v>1</v>
      </c>
      <c r="B27" s="37">
        <v>2</v>
      </c>
      <c r="C27" s="37">
        <f t="shared" si="0"/>
        <v>-1</v>
      </c>
      <c r="D27" s="5">
        <v>4</v>
      </c>
      <c r="E27" s="37">
        <f t="shared" si="1"/>
        <v>-3</v>
      </c>
      <c r="F27" t="s">
        <v>38</v>
      </c>
      <c r="G27" s="36">
        <f>A27+'Jan Statistics'!A27</f>
        <v>2</v>
      </c>
      <c r="H27" s="37">
        <f>B27+'Jan Statistics'!B27</f>
        <v>3</v>
      </c>
      <c r="I27" s="37">
        <f t="shared" si="2"/>
        <v>-1</v>
      </c>
      <c r="J27" s="5">
        <f>'[1]Jan Statistics'!D27+'[1]Feb Statistics'!D27</f>
        <v>5</v>
      </c>
      <c r="K27" s="37">
        <f t="shared" si="3"/>
        <v>-3</v>
      </c>
    </row>
    <row r="28" spans="1:11" x14ac:dyDescent="0.35">
      <c r="G28" s="36"/>
      <c r="H28" s="37"/>
      <c r="I28" s="37"/>
      <c r="J28" s="5"/>
      <c r="K28" s="37"/>
    </row>
    <row r="29" spans="1:11" x14ac:dyDescent="0.35">
      <c r="A29">
        <f>1662+1438</f>
        <v>3100</v>
      </c>
      <c r="B29">
        <v>3800</v>
      </c>
      <c r="C29" s="6">
        <f t="shared" si="0"/>
        <v>-700</v>
      </c>
      <c r="D29">
        <f>2658+2594</f>
        <v>5252</v>
      </c>
      <c r="E29" s="6">
        <f t="shared" si="1"/>
        <v>-2152</v>
      </c>
      <c r="F29" t="s">
        <v>45</v>
      </c>
      <c r="G29" s="5">
        <f>A29+'Jan Statistics'!A29</f>
        <v>6154</v>
      </c>
      <c r="H29">
        <f>B29+'Jan Statistics'!B29</f>
        <v>7600</v>
      </c>
      <c r="I29" s="6">
        <f t="shared" ref="I29" si="6">+G29-H29</f>
        <v>-1446</v>
      </c>
      <c r="J29" s="5">
        <f>'[1]Jan Statistics'!D29+'[1]Feb Statistics'!D29</f>
        <v>8911</v>
      </c>
      <c r="K29" s="6">
        <f t="shared" ref="K29" si="7">+G29-J29</f>
        <v>-2757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46"/>
  <sheetViews>
    <sheetView workbookViewId="0">
      <selection activeCell="J9" sqref="J9"/>
    </sheetView>
  </sheetViews>
  <sheetFormatPr defaultRowHeight="14.5" x14ac:dyDescent="0.35"/>
  <cols>
    <col min="1" max="1" width="13.453125" customWidth="1"/>
    <col min="2" max="2" width="13.54296875" customWidth="1"/>
    <col min="3" max="3" width="12.81640625" customWidth="1"/>
    <col min="4" max="4" width="13.453125" style="1" bestFit="1" customWidth="1"/>
    <col min="5" max="5" width="12" customWidth="1"/>
    <col min="6" max="6" width="28.81640625" customWidth="1"/>
    <col min="7" max="7" width="13.453125" style="40" bestFit="1" customWidth="1"/>
    <col min="8" max="8" width="12.54296875" customWidth="1"/>
    <col min="9" max="9" width="14.1796875" customWidth="1"/>
    <col min="10" max="10" width="12.453125" style="1" bestFit="1" customWidth="1"/>
    <col min="11" max="11" width="14.453125" customWidth="1"/>
  </cols>
  <sheetData>
    <row r="1" spans="1:11" x14ac:dyDescent="0.35">
      <c r="A1" t="s">
        <v>47</v>
      </c>
    </row>
    <row r="2" spans="1:11" x14ac:dyDescent="0.35">
      <c r="A2" t="s">
        <v>46</v>
      </c>
    </row>
    <row r="3" spans="1:11" x14ac:dyDescent="0.35">
      <c r="A3" s="7">
        <v>43921</v>
      </c>
    </row>
    <row r="4" spans="1:11" x14ac:dyDescent="0.35">
      <c r="B4" s="35"/>
    </row>
    <row r="5" spans="1:11" x14ac:dyDescent="0.35">
      <c r="A5" t="s">
        <v>48</v>
      </c>
      <c r="B5" s="34" t="s">
        <v>48</v>
      </c>
      <c r="D5" s="1" t="s">
        <v>49</v>
      </c>
      <c r="G5" s="40" t="s">
        <v>48</v>
      </c>
      <c r="H5" t="s">
        <v>48</v>
      </c>
      <c r="J5" s="1" t="s">
        <v>49</v>
      </c>
    </row>
    <row r="6" spans="1:11" x14ac:dyDescent="0.35">
      <c r="A6" t="s">
        <v>6</v>
      </c>
      <c r="B6" s="34" t="s">
        <v>6</v>
      </c>
      <c r="C6" t="s">
        <v>9</v>
      </c>
      <c r="D6" s="1" t="s">
        <v>6</v>
      </c>
      <c r="E6" t="s">
        <v>9</v>
      </c>
      <c r="G6" s="40" t="s">
        <v>12</v>
      </c>
      <c r="H6" t="s">
        <v>12</v>
      </c>
      <c r="I6" t="s">
        <v>9</v>
      </c>
      <c r="J6" s="1" t="s">
        <v>12</v>
      </c>
      <c r="K6" t="s">
        <v>9</v>
      </c>
    </row>
    <row r="7" spans="1:11" x14ac:dyDescent="0.35">
      <c r="A7" t="s">
        <v>7</v>
      </c>
      <c r="B7" s="34" t="s">
        <v>8</v>
      </c>
      <c r="D7" s="1" t="s">
        <v>7</v>
      </c>
      <c r="G7" s="40" t="s">
        <v>7</v>
      </c>
      <c r="H7" t="s">
        <v>8</v>
      </c>
      <c r="J7" s="1" t="s">
        <v>7</v>
      </c>
    </row>
    <row r="8" spans="1:11" x14ac:dyDescent="0.35">
      <c r="B8" s="34"/>
      <c r="F8" s="38" t="s">
        <v>14</v>
      </c>
    </row>
    <row r="9" spans="1:11" x14ac:dyDescent="0.35">
      <c r="A9" s="1">
        <f>395</f>
        <v>395</v>
      </c>
      <c r="B9" s="10">
        <f>15000</f>
        <v>15000</v>
      </c>
      <c r="C9" s="2">
        <f>+A9-B9</f>
        <v>-14605</v>
      </c>
      <c r="D9" s="1">
        <f>25441+30402</f>
        <v>55843</v>
      </c>
      <c r="E9" s="2">
        <f>+A9-D9</f>
        <v>-55448</v>
      </c>
      <c r="F9" t="s">
        <v>52</v>
      </c>
      <c r="G9" s="41">
        <f>A9+'Feb Income'!G9</f>
        <v>549</v>
      </c>
      <c r="H9" s="10">
        <f>B9+'Feb Income'!H9</f>
        <v>29000</v>
      </c>
      <c r="I9" s="2">
        <f>+G9-H9</f>
        <v>-28451</v>
      </c>
      <c r="J9" s="10">
        <f>D9+'Feb Income'!D9</f>
        <v>77451</v>
      </c>
      <c r="K9" s="2">
        <f>+G9-J9</f>
        <v>-76902</v>
      </c>
    </row>
    <row r="10" spans="1:11" x14ac:dyDescent="0.35">
      <c r="A10" s="1">
        <f>799</f>
        <v>799</v>
      </c>
      <c r="B10" s="10">
        <f>6500+1500+1600</f>
        <v>9600</v>
      </c>
      <c r="C10" s="2">
        <f>+A10-B10</f>
        <v>-8801</v>
      </c>
      <c r="D10" s="1">
        <f>9013.75+632+7250+984+3196</f>
        <v>21075.75</v>
      </c>
      <c r="E10" s="2">
        <f>+A10-D10</f>
        <v>-20276.75</v>
      </c>
      <c r="F10" t="s">
        <v>53</v>
      </c>
      <c r="G10" s="41">
        <f>A10+'Feb Income'!G10</f>
        <v>3196</v>
      </c>
      <c r="H10" s="10">
        <f>B10+'Feb Income'!H10</f>
        <v>15840</v>
      </c>
      <c r="I10" s="2">
        <f>+G10-H10</f>
        <v>-12644</v>
      </c>
      <c r="J10" s="10">
        <f>D10+'Feb Income'!D10</f>
        <v>31182</v>
      </c>
      <c r="K10" s="2">
        <f>+G10-J10</f>
        <v>-27986</v>
      </c>
    </row>
    <row r="11" spans="1:11" x14ac:dyDescent="0.35">
      <c r="A11" s="3">
        <v>0</v>
      </c>
      <c r="B11" s="11">
        <v>0</v>
      </c>
      <c r="C11" s="4">
        <f>+A11-B11</f>
        <v>0</v>
      </c>
      <c r="D11" s="3">
        <v>0</v>
      </c>
      <c r="E11" s="4">
        <f>+A11-D11</f>
        <v>0</v>
      </c>
      <c r="F11" t="s">
        <v>51</v>
      </c>
      <c r="G11" s="42">
        <f>A11+'Feb Income'!G11</f>
        <v>0</v>
      </c>
      <c r="H11" s="11">
        <f>B11+'Feb Income'!H11</f>
        <v>0</v>
      </c>
      <c r="I11" s="4">
        <f>+G11-H11</f>
        <v>0</v>
      </c>
      <c r="J11" s="11">
        <f>D11+'Feb Income'!D11</f>
        <v>0</v>
      </c>
      <c r="K11" s="4">
        <f>+G11-J11</f>
        <v>0</v>
      </c>
    </row>
    <row r="12" spans="1:11" x14ac:dyDescent="0.35">
      <c r="A12" s="1">
        <f>+A11+A10+A9</f>
        <v>1194</v>
      </c>
      <c r="B12" s="1">
        <f>+B11+B10+B9</f>
        <v>24600</v>
      </c>
      <c r="C12" s="1">
        <f>+C11+C10+C9</f>
        <v>-23406</v>
      </c>
      <c r="D12" s="1">
        <f>+D11+D10+D9</f>
        <v>76918.75</v>
      </c>
      <c r="E12" s="1">
        <f>+E11+E10+E9</f>
        <v>-75724.75</v>
      </c>
      <c r="F12" t="s">
        <v>13</v>
      </c>
      <c r="G12" s="41">
        <f>G9+G10+G11</f>
        <v>3745</v>
      </c>
      <c r="H12" s="41">
        <f>H9+H10+H11</f>
        <v>44840</v>
      </c>
      <c r="I12" s="1">
        <f>+I11+I10+I9</f>
        <v>-41095</v>
      </c>
      <c r="J12" s="41">
        <f>J9+J10+J11</f>
        <v>108633</v>
      </c>
      <c r="K12" s="1">
        <f>+K11+K10+K9</f>
        <v>-104888</v>
      </c>
    </row>
    <row r="13" spans="1:11" x14ac:dyDescent="0.35">
      <c r="A13" s="1"/>
      <c r="C13" s="2"/>
      <c r="E13" s="2"/>
      <c r="G13" s="41"/>
      <c r="H13" s="10"/>
      <c r="I13" s="2"/>
      <c r="J13" s="10"/>
      <c r="K13" s="2"/>
    </row>
    <row r="14" spans="1:11" x14ac:dyDescent="0.35">
      <c r="A14" s="1">
        <f>7758.63+3.44+1478.24</f>
        <v>9240.31</v>
      </c>
      <c r="B14" s="10">
        <f>1088+6101+3000</f>
        <v>10189</v>
      </c>
      <c r="C14" s="2">
        <f>+A14-B14</f>
        <v>-948.69000000000051</v>
      </c>
      <c r="D14" s="1">
        <f>6778.63+2.13+325</f>
        <v>7105.76</v>
      </c>
      <c r="E14" s="2">
        <f>+A14-D14</f>
        <v>2134.5499999999993</v>
      </c>
      <c r="F14" t="s">
        <v>62</v>
      </c>
      <c r="G14" s="41">
        <f>A14+'Feb Income'!G14</f>
        <v>27493.18</v>
      </c>
      <c r="H14" s="10">
        <f>B14+'Feb Income'!H14</f>
        <v>35291</v>
      </c>
      <c r="I14" s="2">
        <f>+G14-H14</f>
        <v>-7797.82</v>
      </c>
      <c r="J14" s="10">
        <f>D14+'Feb Income'!D14</f>
        <v>12476</v>
      </c>
      <c r="K14" s="2">
        <f>+G14-J14</f>
        <v>15017.18</v>
      </c>
    </row>
    <row r="15" spans="1:11" x14ac:dyDescent="0.35">
      <c r="A15" s="3">
        <f>36.95</f>
        <v>36.950000000000003</v>
      </c>
      <c r="B15" s="11">
        <f>3500</f>
        <v>3500</v>
      </c>
      <c r="C15" s="4">
        <f>+A15-B15</f>
        <v>-3463.05</v>
      </c>
      <c r="D15" s="3">
        <v>6106.84</v>
      </c>
      <c r="E15" s="4">
        <f>+A15-D15</f>
        <v>-6069.89</v>
      </c>
      <c r="F15" t="s">
        <v>17</v>
      </c>
      <c r="G15" s="41">
        <f>A15+'Feb Income'!G15</f>
        <v>163.6</v>
      </c>
      <c r="H15" s="10">
        <f>B15+'Feb Income'!H15</f>
        <v>9200</v>
      </c>
      <c r="I15" s="4">
        <f>+G15-H15</f>
        <v>-9036.4</v>
      </c>
      <c r="J15" s="10">
        <f>D15+'Feb Income'!D15</f>
        <v>7940.46</v>
      </c>
      <c r="K15" s="4">
        <f>+G15-J15</f>
        <v>-7776.86</v>
      </c>
    </row>
    <row r="16" spans="1:11" x14ac:dyDescent="0.35">
      <c r="A16" s="1">
        <f>+A15+A14</f>
        <v>9277.26</v>
      </c>
      <c r="B16" s="1">
        <f>+B15+B14</f>
        <v>13689</v>
      </c>
      <c r="C16" s="1">
        <f>+C15+C14</f>
        <v>-4411.7400000000007</v>
      </c>
      <c r="D16" s="1">
        <f>+D15+D14</f>
        <v>13212.6</v>
      </c>
      <c r="E16" s="1">
        <f>+E15+E14</f>
        <v>-3935.3400000000011</v>
      </c>
      <c r="F16" t="s">
        <v>15</v>
      </c>
      <c r="G16" s="43">
        <f>G15+G14</f>
        <v>27656.78</v>
      </c>
      <c r="H16" s="43">
        <f>H15+H14</f>
        <v>44491</v>
      </c>
      <c r="I16" s="1">
        <f>+I15+I14</f>
        <v>-16834.22</v>
      </c>
      <c r="J16" s="43">
        <f>J15+J14</f>
        <v>20416.46</v>
      </c>
      <c r="K16" s="1">
        <f>+K15+K14</f>
        <v>7240.3200000000006</v>
      </c>
    </row>
    <row r="17" spans="1:14" x14ac:dyDescent="0.35">
      <c r="A17" s="1"/>
      <c r="C17" s="2"/>
      <c r="E17" s="2"/>
      <c r="G17" s="41"/>
      <c r="H17" s="10"/>
      <c r="I17" s="2"/>
      <c r="J17" s="10"/>
      <c r="K17" s="2"/>
    </row>
    <row r="18" spans="1:14" x14ac:dyDescent="0.35">
      <c r="A18" s="1">
        <f>A16+A12</f>
        <v>10471.26</v>
      </c>
      <c r="B18" s="1">
        <f>+B16+B12</f>
        <v>38289</v>
      </c>
      <c r="C18" s="1">
        <f>+C16+C12</f>
        <v>-27817.74</v>
      </c>
      <c r="D18" s="1">
        <f>D16+D12</f>
        <v>90131.35</v>
      </c>
      <c r="E18" s="1">
        <f>+E16+E12</f>
        <v>-79660.09</v>
      </c>
      <c r="F18" t="s">
        <v>16</v>
      </c>
      <c r="G18" s="41">
        <f>G16+G12</f>
        <v>31401.78</v>
      </c>
      <c r="H18" s="41">
        <f>H16+H12</f>
        <v>89331</v>
      </c>
      <c r="I18" s="1">
        <f>I16+I12</f>
        <v>-57929.22</v>
      </c>
      <c r="J18" s="41">
        <f>J16+J12</f>
        <v>129049.45999999999</v>
      </c>
      <c r="K18" s="1">
        <f>K16+K12</f>
        <v>-97647.679999999993</v>
      </c>
    </row>
    <row r="19" spans="1:14" x14ac:dyDescent="0.35">
      <c r="A19" s="1"/>
      <c r="C19" s="2"/>
      <c r="E19" s="2"/>
      <c r="G19" s="41"/>
      <c r="H19" s="10"/>
      <c r="I19" s="2"/>
      <c r="J19" s="10"/>
      <c r="K19" s="2"/>
    </row>
    <row r="20" spans="1:14" x14ac:dyDescent="0.35">
      <c r="A20" s="1"/>
      <c r="C20" s="2"/>
      <c r="E20" s="2"/>
      <c r="F20" s="38" t="s">
        <v>23</v>
      </c>
      <c r="G20" s="41"/>
      <c r="H20" s="10"/>
      <c r="I20" s="2"/>
      <c r="J20" s="10"/>
      <c r="K20" s="2"/>
    </row>
    <row r="21" spans="1:14" x14ac:dyDescent="0.35">
      <c r="A21" s="1">
        <f>36365.65+2254.65+527.28+1188.49+362.7</f>
        <v>40698.769999999997</v>
      </c>
      <c r="B21" s="10">
        <f>3605+29090+12744+2210+4397</f>
        <v>52046</v>
      </c>
      <c r="C21" s="2">
        <f t="shared" ref="C21:C32" si="0">+A21-B21</f>
        <v>-11347.230000000003</v>
      </c>
      <c r="D21" s="1">
        <f>56825.3+194.28+3535.23+826.79+2486.06+304.14</f>
        <v>64171.8</v>
      </c>
      <c r="E21" s="2">
        <f t="shared" ref="E21:E32" si="1">+A21-D21</f>
        <v>-23473.030000000006</v>
      </c>
      <c r="F21" t="s">
        <v>0</v>
      </c>
      <c r="G21" s="41">
        <f>A21+'Feb Income'!G21</f>
        <v>124339.41</v>
      </c>
      <c r="H21" s="10">
        <f>B21+'Feb Income'!H21</f>
        <v>156137</v>
      </c>
      <c r="I21" s="2">
        <f t="shared" ref="I21:I32" si="2">+G21-H21</f>
        <v>-31797.589999999997</v>
      </c>
      <c r="J21" s="10">
        <f>D21+'Feb Income'!D21</f>
        <v>129961.98</v>
      </c>
      <c r="K21" s="2">
        <f t="shared" ref="K21:K32" si="3">+G21-J21</f>
        <v>-5622.5699999999924</v>
      </c>
    </row>
    <row r="22" spans="1:14" x14ac:dyDescent="0.35">
      <c r="A22" s="1">
        <f>2013.28+235.74+15</f>
        <v>2264.02</v>
      </c>
      <c r="B22" s="10">
        <f>600+600+600+325</f>
        <v>2125</v>
      </c>
      <c r="C22" s="2">
        <f t="shared" si="0"/>
        <v>139.01999999999998</v>
      </c>
      <c r="D22" s="1">
        <f>2724.72+165+119</f>
        <v>3008.72</v>
      </c>
      <c r="E22" s="2">
        <f t="shared" si="1"/>
        <v>-744.69999999999982</v>
      </c>
      <c r="F22" t="s">
        <v>1</v>
      </c>
      <c r="G22" s="41">
        <f>A22+'Feb Income'!G22</f>
        <v>8552.31</v>
      </c>
      <c r="H22" s="10">
        <f>B22+'Feb Income'!H22</f>
        <v>6375</v>
      </c>
      <c r="I22" s="2">
        <f t="shared" si="2"/>
        <v>2177.3099999999995</v>
      </c>
      <c r="J22" s="10">
        <f>D22+'Feb Income'!D22</f>
        <v>6587.44</v>
      </c>
      <c r="K22" s="2">
        <f t="shared" si="3"/>
        <v>1964.87</v>
      </c>
    </row>
    <row r="23" spans="1:14" x14ac:dyDescent="0.35">
      <c r="A23" s="1">
        <f>2391.48-2197.21+8972.78-2048.78</f>
        <v>7118.27</v>
      </c>
      <c r="B23" s="10">
        <f>2500+3500+440+1100+1100+50+1000+2000+500+50</f>
        <v>12240</v>
      </c>
      <c r="C23" s="2">
        <f t="shared" si="0"/>
        <v>-5121.7299999999996</v>
      </c>
      <c r="D23" s="1">
        <f>11092.11-1505.11+19061.68-1576.27-11780</f>
        <v>15292.41</v>
      </c>
      <c r="E23" s="2">
        <f t="shared" si="1"/>
        <v>-8174.1399999999994</v>
      </c>
      <c r="F23" t="s">
        <v>54</v>
      </c>
      <c r="G23" s="41">
        <f>A23+'Feb Income'!G23</f>
        <v>30375.309999999998</v>
      </c>
      <c r="H23" s="10">
        <f>B23+'Feb Income'!H23</f>
        <v>42890</v>
      </c>
      <c r="I23" s="2">
        <f t="shared" si="2"/>
        <v>-12514.690000000002</v>
      </c>
      <c r="J23" s="10">
        <f>D23+'Feb Income'!D23</f>
        <v>30742.18</v>
      </c>
      <c r="K23" s="2">
        <f t="shared" si="3"/>
        <v>-366.87000000000262</v>
      </c>
      <c r="N23" s="2"/>
    </row>
    <row r="24" spans="1:14" x14ac:dyDescent="0.35">
      <c r="A24" s="1">
        <f>15.51+3.92</f>
        <v>19.43</v>
      </c>
      <c r="B24" s="10">
        <f>100+1650</f>
        <v>1750</v>
      </c>
      <c r="C24" s="2">
        <f t="shared" si="0"/>
        <v>-1730.57</v>
      </c>
      <c r="D24" s="1">
        <f>151.58+3011.26-1.56</f>
        <v>3161.28</v>
      </c>
      <c r="E24" s="2">
        <f t="shared" si="1"/>
        <v>-3141.8500000000004</v>
      </c>
      <c r="F24" t="s">
        <v>55</v>
      </c>
      <c r="G24" s="41">
        <f>A24+'Feb Income'!G24</f>
        <v>692.03</v>
      </c>
      <c r="H24" s="10">
        <f>B24+'Feb Income'!H24</f>
        <v>5250</v>
      </c>
      <c r="I24" s="2">
        <f t="shared" si="2"/>
        <v>-4557.97</v>
      </c>
      <c r="J24" s="10">
        <f>D24+'Feb Income'!D24</f>
        <v>4041.33</v>
      </c>
      <c r="K24" s="2">
        <f t="shared" si="3"/>
        <v>-3349.3</v>
      </c>
    </row>
    <row r="25" spans="1:14" x14ac:dyDescent="0.35">
      <c r="A25" s="1">
        <v>0</v>
      </c>
      <c r="B25" s="10">
        <f>80</f>
        <v>80</v>
      </c>
      <c r="C25" s="2">
        <f t="shared" si="0"/>
        <v>-80</v>
      </c>
      <c r="D25" s="1">
        <v>0</v>
      </c>
      <c r="E25" s="2">
        <f t="shared" si="1"/>
        <v>0</v>
      </c>
      <c r="F25" t="s">
        <v>56</v>
      </c>
      <c r="G25" s="41">
        <f>A25+'Feb Income'!G25</f>
        <v>0</v>
      </c>
      <c r="H25" s="10">
        <f>B25+'Feb Income'!H25</f>
        <v>240</v>
      </c>
      <c r="I25" s="2">
        <f t="shared" si="2"/>
        <v>-240</v>
      </c>
      <c r="J25" s="10">
        <f>D25+'Feb Income'!D25</f>
        <v>0</v>
      </c>
      <c r="K25" s="2">
        <f t="shared" si="3"/>
        <v>0</v>
      </c>
    </row>
    <row r="26" spans="1:14" x14ac:dyDescent="0.35">
      <c r="A26" s="1">
        <f>119.02+11882.13+2112.55-4196.57+1484.51</f>
        <v>11401.640000000001</v>
      </c>
      <c r="B26" s="10">
        <f>5550+8000+8000-3000</f>
        <v>18550</v>
      </c>
      <c r="C26" s="2">
        <f t="shared" si="0"/>
        <v>-7148.3599999999988</v>
      </c>
      <c r="D26" s="1">
        <f>302.84+21127.86+13259.87-7303.34</f>
        <v>27387.23</v>
      </c>
      <c r="E26" s="2">
        <f t="shared" si="1"/>
        <v>-15985.589999999998</v>
      </c>
      <c r="F26" t="s">
        <v>57</v>
      </c>
      <c r="G26" s="41">
        <f>A26+'Feb Income'!G26-918.79</f>
        <v>29283.619999999995</v>
      </c>
      <c r="H26" s="10">
        <f>B26+'Feb Income'!H26</f>
        <v>49550</v>
      </c>
      <c r="I26" s="2">
        <f t="shared" si="2"/>
        <v>-20266.380000000005</v>
      </c>
      <c r="J26" s="10">
        <f>D26+'Feb Income'!D26</f>
        <v>37400.020000000004</v>
      </c>
      <c r="K26" s="2">
        <f t="shared" si="3"/>
        <v>-8116.4000000000087</v>
      </c>
      <c r="N26" s="2"/>
    </row>
    <row r="27" spans="1:14" x14ac:dyDescent="0.35">
      <c r="A27" s="1">
        <f>9812.94-6288</f>
        <v>3524.9400000000005</v>
      </c>
      <c r="B27" s="10">
        <f>500+1000</f>
        <v>1500</v>
      </c>
      <c r="C27" s="2">
        <f t="shared" si="0"/>
        <v>2024.9400000000005</v>
      </c>
      <c r="D27" s="1">
        <f>17096.5-3214.32</f>
        <v>13882.18</v>
      </c>
      <c r="E27" s="2">
        <f t="shared" si="1"/>
        <v>-10357.24</v>
      </c>
      <c r="F27" t="s">
        <v>58</v>
      </c>
      <c r="G27" s="41">
        <f>A27+'Feb Income'!G27</f>
        <v>10193.16</v>
      </c>
      <c r="H27" s="10">
        <f>B27+'Feb Income'!H27</f>
        <v>7000</v>
      </c>
      <c r="I27" s="2">
        <f t="shared" si="2"/>
        <v>3193.16</v>
      </c>
      <c r="J27" s="10">
        <f>D27+'Feb Income'!D27</f>
        <v>15459.52</v>
      </c>
      <c r="K27" s="2">
        <f t="shared" si="3"/>
        <v>-5266.3600000000006</v>
      </c>
    </row>
    <row r="28" spans="1:14" x14ac:dyDescent="0.35">
      <c r="A28" s="1">
        <v>0</v>
      </c>
      <c r="B28" s="10">
        <v>0</v>
      </c>
      <c r="C28" s="2">
        <f t="shared" si="0"/>
        <v>0</v>
      </c>
      <c r="D28" s="1">
        <v>0</v>
      </c>
      <c r="E28" s="2">
        <f t="shared" si="1"/>
        <v>0</v>
      </c>
      <c r="F28" t="s">
        <v>59</v>
      </c>
      <c r="G28" s="41">
        <f>A28+'Feb Income'!G28</f>
        <v>0</v>
      </c>
      <c r="H28" s="10">
        <f>B28+'Feb Income'!H28</f>
        <v>0</v>
      </c>
      <c r="I28" s="2">
        <f t="shared" si="2"/>
        <v>0</v>
      </c>
      <c r="J28" s="10">
        <f>D28+'Feb Income'!D28</f>
        <v>108.32</v>
      </c>
      <c r="K28" s="2">
        <f t="shared" si="3"/>
        <v>-108.32</v>
      </c>
    </row>
    <row r="29" spans="1:14" x14ac:dyDescent="0.35">
      <c r="A29" s="1">
        <f>6288</f>
        <v>6288</v>
      </c>
      <c r="B29" s="10">
        <f>3540</f>
        <v>3540</v>
      </c>
      <c r="C29" s="2">
        <f t="shared" si="0"/>
        <v>2748</v>
      </c>
      <c r="D29" s="1">
        <f>3214.32</f>
        <v>3214.32</v>
      </c>
      <c r="E29" s="2">
        <f t="shared" si="1"/>
        <v>3073.68</v>
      </c>
      <c r="F29" t="s">
        <v>2</v>
      </c>
      <c r="G29" s="41">
        <f>A29+'Feb Income'!G29</f>
        <v>21821.57</v>
      </c>
      <c r="H29" s="10">
        <f>B29+'Feb Income'!H29</f>
        <v>10640</v>
      </c>
      <c r="I29" s="2">
        <f t="shared" si="2"/>
        <v>11181.57</v>
      </c>
      <c r="J29" s="10">
        <f>D29+'Feb Income'!D29</f>
        <v>6619.8700000000008</v>
      </c>
      <c r="K29" s="2">
        <f t="shared" si="3"/>
        <v>15201.699999999999</v>
      </c>
    </row>
    <row r="30" spans="1:14" x14ac:dyDescent="0.35">
      <c r="A30" s="1">
        <f>2197.21+2048.78+5184.46</f>
        <v>9430.4500000000007</v>
      </c>
      <c r="B30" s="10">
        <f>1750+1750+7834</f>
        <v>11334</v>
      </c>
      <c r="C30" s="2">
        <f t="shared" si="0"/>
        <v>-1903.5499999999993</v>
      </c>
      <c r="D30" s="1">
        <f>1505.11+1576.27+4414.78</f>
        <v>7496.16</v>
      </c>
      <c r="E30" s="2">
        <f t="shared" si="1"/>
        <v>1934.2900000000009</v>
      </c>
      <c r="F30" t="s">
        <v>3</v>
      </c>
      <c r="G30" s="41">
        <f>A30+'Feb Income'!G30</f>
        <v>28291.350000000002</v>
      </c>
      <c r="H30" s="10">
        <f>B30+'Feb Income'!H30</f>
        <v>33994</v>
      </c>
      <c r="I30" s="2">
        <f t="shared" si="2"/>
        <v>-5702.6499999999978</v>
      </c>
      <c r="J30" s="10">
        <f>D30+'Feb Income'!D30</f>
        <v>17299.32</v>
      </c>
      <c r="K30" s="2">
        <f t="shared" si="3"/>
        <v>10992.030000000002</v>
      </c>
    </row>
    <row r="31" spans="1:14" x14ac:dyDescent="0.35">
      <c r="A31" s="1">
        <f>3189.59</f>
        <v>3189.59</v>
      </c>
      <c r="B31" s="10">
        <v>3000</v>
      </c>
      <c r="C31" s="2">
        <f t="shared" si="0"/>
        <v>189.59000000000015</v>
      </c>
      <c r="D31" s="1">
        <f>2675.68+280.21+24.52</f>
        <v>2980.41</v>
      </c>
      <c r="E31" s="2">
        <f t="shared" si="1"/>
        <v>209.18000000000029</v>
      </c>
      <c r="F31" t="s">
        <v>4</v>
      </c>
      <c r="G31" s="41">
        <f>A31+'Feb Income'!G31</f>
        <v>9369.08</v>
      </c>
      <c r="H31" s="10">
        <f>B31+'Feb Income'!H31</f>
        <v>9000</v>
      </c>
      <c r="I31" s="2">
        <f t="shared" si="2"/>
        <v>369.07999999999993</v>
      </c>
      <c r="J31" s="10">
        <f>D31+'Feb Income'!D31</f>
        <v>5582.4599999999991</v>
      </c>
      <c r="K31" s="2">
        <f t="shared" si="3"/>
        <v>3786.6200000000008</v>
      </c>
      <c r="N31" s="2"/>
    </row>
    <row r="32" spans="1:14" x14ac:dyDescent="0.35">
      <c r="A32" s="3">
        <f>367.31+3829.26</f>
        <v>4196.5700000000006</v>
      </c>
      <c r="B32" s="11">
        <f>6250</f>
        <v>6250</v>
      </c>
      <c r="C32" s="4">
        <f t="shared" si="0"/>
        <v>-2053.4299999999994</v>
      </c>
      <c r="D32" s="3">
        <f>22+38.3+5351.77+526.27+1365</f>
        <v>7303.34</v>
      </c>
      <c r="E32" s="4">
        <f t="shared" si="1"/>
        <v>-3106.7699999999995</v>
      </c>
      <c r="F32" t="s">
        <v>60</v>
      </c>
      <c r="G32" s="41">
        <f>A32+'Feb Income'!G32</f>
        <v>14082.41</v>
      </c>
      <c r="H32" s="10">
        <f>B32+'Feb Income'!B32</f>
        <v>12500</v>
      </c>
      <c r="I32" s="4">
        <f t="shared" si="2"/>
        <v>1582.4099999999999</v>
      </c>
      <c r="J32" s="10">
        <f>D32+'Feb Income'!D32</f>
        <v>15551.07</v>
      </c>
      <c r="K32" s="4">
        <f t="shared" si="3"/>
        <v>-1468.6599999999999</v>
      </c>
    </row>
    <row r="33" spans="1:11" x14ac:dyDescent="0.35">
      <c r="A33" s="1">
        <f>SUM(A21:A32)</f>
        <v>88131.680000000008</v>
      </c>
      <c r="B33" s="1">
        <f>SUM(B21:B32)</f>
        <v>112415</v>
      </c>
      <c r="C33" s="1">
        <f>SUM(C21:C32)</f>
        <v>-24283.32</v>
      </c>
      <c r="D33" s="1">
        <f>SUM(D21:D32)</f>
        <v>147897.85</v>
      </c>
      <c r="E33" s="1">
        <f>SUM(E21:E32)</f>
        <v>-59766.17</v>
      </c>
      <c r="F33" t="s">
        <v>21</v>
      </c>
      <c r="G33" s="43">
        <f>SUM(G21:G32)</f>
        <v>277000.25</v>
      </c>
      <c r="H33" s="43">
        <f>SUM(H21:H32)</f>
        <v>333576</v>
      </c>
      <c r="I33" s="1">
        <f>SUM(I21:I32)</f>
        <v>-56575.75</v>
      </c>
      <c r="J33" s="43">
        <f>SUM(J21:J32)</f>
        <v>269353.50999999995</v>
      </c>
      <c r="K33" s="1">
        <f>SUM(K21:K32)</f>
        <v>7646.739999999998</v>
      </c>
    </row>
    <row r="34" spans="1:11" x14ac:dyDescent="0.35">
      <c r="A34" s="1"/>
      <c r="C34" s="2"/>
      <c r="E34" s="2"/>
      <c r="G34" s="41"/>
      <c r="H34" s="10"/>
      <c r="I34" s="2"/>
      <c r="J34" s="10"/>
      <c r="K34" s="2"/>
    </row>
    <row r="35" spans="1:11" x14ac:dyDescent="0.35">
      <c r="A35" s="1">
        <f>A18-A33</f>
        <v>-77660.420000000013</v>
      </c>
      <c r="B35" s="1">
        <f>B18-B33</f>
        <v>-74126</v>
      </c>
      <c r="C35" s="1">
        <f>C18-C33</f>
        <v>-3534.4200000000019</v>
      </c>
      <c r="D35" s="1">
        <f>D18-D33</f>
        <v>-57766.5</v>
      </c>
      <c r="E35" s="1">
        <f>E18-E33</f>
        <v>-19893.919999999998</v>
      </c>
      <c r="F35" t="s">
        <v>18</v>
      </c>
      <c r="G35" s="41">
        <f>G18-G33</f>
        <v>-245598.47</v>
      </c>
      <c r="H35" s="41">
        <f>H18-H33</f>
        <v>-244245</v>
      </c>
      <c r="I35" s="9">
        <f>I18-I33</f>
        <v>-1353.4700000000012</v>
      </c>
      <c r="J35" s="41">
        <f>J18-J33</f>
        <v>-140304.04999999996</v>
      </c>
      <c r="K35" s="1">
        <f>K18-K33</f>
        <v>-105294.41999999998</v>
      </c>
    </row>
    <row r="36" spans="1:11" x14ac:dyDescent="0.35">
      <c r="A36" s="1"/>
      <c r="B36" s="10"/>
      <c r="C36" s="2"/>
      <c r="E36" s="2"/>
      <c r="G36" s="41"/>
      <c r="H36" s="10"/>
      <c r="I36" s="2"/>
      <c r="J36" s="10"/>
      <c r="K36" s="2"/>
    </row>
    <row r="37" spans="1:11" x14ac:dyDescent="0.35">
      <c r="A37" s="1">
        <f>120.75+216688.68+14658.29+35552.03</f>
        <v>267019.75</v>
      </c>
      <c r="B37" s="10">
        <f>2500+7000+25000</f>
        <v>34500</v>
      </c>
      <c r="C37" s="2">
        <f>+A37-B37</f>
        <v>232519.75</v>
      </c>
      <c r="D37" s="1">
        <f>5588.41+7846.73+16404.58+1971</f>
        <v>31810.720000000001</v>
      </c>
      <c r="E37" s="2">
        <f>+A37-D37</f>
        <v>235209.03</v>
      </c>
      <c r="F37" t="s">
        <v>61</v>
      </c>
      <c r="G37" s="41">
        <f>A37+'Feb Income'!G37</f>
        <v>583695.1</v>
      </c>
      <c r="H37" s="10">
        <f>B37+'Feb Income'!H37</f>
        <v>175658</v>
      </c>
      <c r="I37" s="2">
        <f>+G37-H37</f>
        <v>408037.1</v>
      </c>
      <c r="J37" s="10">
        <f>D37+'Feb Income'!D37</f>
        <v>92567.989999999991</v>
      </c>
      <c r="K37" s="2">
        <f>+G37-J37</f>
        <v>491127.11</v>
      </c>
    </row>
    <row r="38" spans="1:11" x14ac:dyDescent="0.35">
      <c r="A38" s="3">
        <v>427.22</v>
      </c>
      <c r="B38" s="11">
        <v>2100</v>
      </c>
      <c r="C38" s="4">
        <f>+A38-B38</f>
        <v>-1672.78</v>
      </c>
      <c r="D38" s="3">
        <v>465.84</v>
      </c>
      <c r="E38" s="4">
        <f>+A38-D38</f>
        <v>-38.619999999999948</v>
      </c>
      <c r="F38" t="s">
        <v>19</v>
      </c>
      <c r="G38" s="41">
        <f>A38+'Feb Income'!G4</f>
        <v>427.22</v>
      </c>
      <c r="H38" s="10">
        <f>B38+'Feb Income'!H38</f>
        <v>6300</v>
      </c>
      <c r="I38" s="4">
        <f>+G38-H38</f>
        <v>-5872.78</v>
      </c>
      <c r="J38" s="10">
        <f>D38+'Feb Income'!D38</f>
        <v>1831.6799999999998</v>
      </c>
      <c r="K38" s="4">
        <f>+G38-J38</f>
        <v>-1404.4599999999998</v>
      </c>
    </row>
    <row r="39" spans="1:11" x14ac:dyDescent="0.35">
      <c r="A39" s="1">
        <f>+A37+A38</f>
        <v>267446.96999999997</v>
      </c>
      <c r="B39" s="1">
        <f>+B37+B38</f>
        <v>36600</v>
      </c>
      <c r="C39" s="1">
        <f>+C37+C38</f>
        <v>230846.97</v>
      </c>
      <c r="D39" s="1">
        <f>+D37+D38</f>
        <v>32276.560000000001</v>
      </c>
      <c r="E39" s="1">
        <f>+E37+E38</f>
        <v>235170.41</v>
      </c>
      <c r="F39" t="s">
        <v>20</v>
      </c>
      <c r="G39" s="43">
        <f>+G37+G38</f>
        <v>584122.31999999995</v>
      </c>
      <c r="H39" s="43">
        <f>+H37+H38</f>
        <v>181958</v>
      </c>
      <c r="I39" s="1">
        <f>+I37+I38</f>
        <v>402164.31999999995</v>
      </c>
      <c r="J39" s="43">
        <f>+J37+J38</f>
        <v>94399.669999999984</v>
      </c>
      <c r="K39" s="1">
        <f>+K37+K38</f>
        <v>489722.64999999997</v>
      </c>
    </row>
    <row r="40" spans="1:11" x14ac:dyDescent="0.35">
      <c r="A40" s="1"/>
      <c r="C40" s="2"/>
      <c r="E40" s="2"/>
      <c r="G40" s="41"/>
      <c r="H40" s="10"/>
      <c r="I40" s="2"/>
      <c r="J40" s="10"/>
      <c r="K40" s="2"/>
    </row>
    <row r="41" spans="1:11" x14ac:dyDescent="0.35">
      <c r="A41" s="1"/>
      <c r="C41" s="2"/>
      <c r="E41" s="2"/>
      <c r="G41" s="41"/>
      <c r="H41" s="10"/>
      <c r="I41" s="2"/>
      <c r="J41" s="10"/>
      <c r="K41" s="2"/>
    </row>
    <row r="42" spans="1:11" x14ac:dyDescent="0.35">
      <c r="A42" s="3">
        <f>A35+A39</f>
        <v>189786.54999999996</v>
      </c>
      <c r="B42" s="3">
        <f t="shared" ref="B42:E42" si="4">B35+B39</f>
        <v>-37526</v>
      </c>
      <c r="C42" s="3">
        <f t="shared" si="4"/>
        <v>227312.55</v>
      </c>
      <c r="D42" s="3">
        <f>D35+D39</f>
        <v>-25489.94</v>
      </c>
      <c r="E42" s="3">
        <f t="shared" si="4"/>
        <v>215276.49</v>
      </c>
      <c r="F42" s="14" t="s">
        <v>50</v>
      </c>
      <c r="G42" s="42">
        <f>G35+G39</f>
        <v>338523.85</v>
      </c>
      <c r="H42" s="42">
        <f>H35+H39</f>
        <v>-62287</v>
      </c>
      <c r="I42" s="3">
        <f>+I35+I39</f>
        <v>400810.85</v>
      </c>
      <c r="J42" s="42">
        <f>J35+J39</f>
        <v>-45904.379999999976</v>
      </c>
      <c r="K42" s="3">
        <f t="shared" ref="K42" si="5">K35+K39</f>
        <v>384428.23</v>
      </c>
    </row>
    <row r="43" spans="1:11" x14ac:dyDescent="0.35">
      <c r="D43"/>
      <c r="G43" s="41"/>
      <c r="H43" s="10"/>
      <c r="J43" s="10"/>
    </row>
    <row r="44" spans="1:11" ht="15" thickBot="1" x14ac:dyDescent="0.4">
      <c r="A44" s="9">
        <f>16772.58</f>
        <v>16772.580000000002</v>
      </c>
      <c r="B44" s="9">
        <v>14567</v>
      </c>
      <c r="C44" s="9">
        <f>A44-B44</f>
        <v>2205.5800000000017</v>
      </c>
      <c r="D44" s="9">
        <v>18905.419999999998</v>
      </c>
      <c r="E44" s="13">
        <f t="shared" ref="E44:E45" si="6">+A44-D44</f>
        <v>-2132.8399999999965</v>
      </c>
      <c r="F44" t="s">
        <v>22</v>
      </c>
      <c r="G44" s="44">
        <f>A44+'Feb Income'!G44</f>
        <v>50317.740000000005</v>
      </c>
      <c r="H44" s="44">
        <f>B44+'Feb Income'!B44</f>
        <v>29134</v>
      </c>
      <c r="I44" s="13">
        <f t="shared" ref="I44" si="7">+G44-H44</f>
        <v>21183.740000000005</v>
      </c>
      <c r="J44" s="44">
        <f>D44+'Feb Income'!D44</f>
        <v>37810.839999999997</v>
      </c>
      <c r="K44" s="13">
        <f t="shared" ref="K44" si="8">+G44-J44</f>
        <v>12506.900000000009</v>
      </c>
    </row>
    <row r="45" spans="1:11" ht="15" thickBot="1" x14ac:dyDescent="0.4">
      <c r="A45" s="16">
        <f>A42-A44</f>
        <v>173013.96999999997</v>
      </c>
      <c r="B45" s="16">
        <f>B42-B44</f>
        <v>-52093</v>
      </c>
      <c r="C45" s="17">
        <f t="shared" ref="C45" si="9">+A45-B45</f>
        <v>225106.96999999997</v>
      </c>
      <c r="D45" s="16">
        <f>D42-D44</f>
        <v>-44395.360000000001</v>
      </c>
      <c r="E45" s="17">
        <f t="shared" si="6"/>
        <v>217409.32999999996</v>
      </c>
      <c r="F45" s="14" t="s">
        <v>5</v>
      </c>
      <c r="G45" s="45">
        <f>G42-G44</f>
        <v>288206.11</v>
      </c>
      <c r="H45" s="45">
        <f>H42-H44</f>
        <v>-91421</v>
      </c>
      <c r="I45" s="16">
        <f t="shared" ref="I45:K45" si="10">I42-I44</f>
        <v>379627.11</v>
      </c>
      <c r="J45" s="45">
        <f>J42-J44</f>
        <v>-83715.219999999972</v>
      </c>
      <c r="K45" s="16">
        <f t="shared" si="10"/>
        <v>371921.32999999996</v>
      </c>
    </row>
    <row r="46" spans="1:11" ht="15" thickTop="1" x14ac:dyDescent="0.35">
      <c r="A46" s="2"/>
      <c r="G46" s="46"/>
    </row>
  </sheetData>
  <pageMargins left="0.7" right="0.7" top="0.75" bottom="0.75" header="0.3" footer="0.3"/>
  <pageSetup scale="7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9"/>
  <sheetViews>
    <sheetView workbookViewId="0">
      <selection sqref="A1:XFD1048576"/>
    </sheetView>
  </sheetViews>
  <sheetFormatPr defaultRowHeight="14.5" x14ac:dyDescent="0.35"/>
  <cols>
    <col min="1" max="1" width="11.54296875" customWidth="1"/>
    <col min="6" max="6" width="25" customWidth="1"/>
  </cols>
  <sheetData>
    <row r="1" spans="1:11" x14ac:dyDescent="0.35">
      <c r="A1" t="s">
        <v>47</v>
      </c>
    </row>
    <row r="2" spans="1:11" x14ac:dyDescent="0.35">
      <c r="A2" t="s">
        <v>43</v>
      </c>
    </row>
    <row r="3" spans="1:11" x14ac:dyDescent="0.35">
      <c r="A3" s="7">
        <v>43921</v>
      </c>
    </row>
    <row r="5" spans="1:11" x14ac:dyDescent="0.35">
      <c r="A5" t="s">
        <v>10</v>
      </c>
      <c r="B5" t="s">
        <v>10</v>
      </c>
      <c r="D5" s="1" t="s">
        <v>11</v>
      </c>
      <c r="G5" t="s">
        <v>10</v>
      </c>
      <c r="H5" t="s">
        <v>10</v>
      </c>
      <c r="J5" s="1" t="s">
        <v>11</v>
      </c>
    </row>
    <row r="6" spans="1:11" x14ac:dyDescent="0.35">
      <c r="A6" t="s">
        <v>6</v>
      </c>
      <c r="B6" t="s">
        <v>6</v>
      </c>
      <c r="C6" t="s">
        <v>9</v>
      </c>
      <c r="D6" s="1" t="s">
        <v>6</v>
      </c>
      <c r="E6" t="s">
        <v>9</v>
      </c>
      <c r="G6" t="s">
        <v>12</v>
      </c>
      <c r="H6" t="s">
        <v>12</v>
      </c>
      <c r="I6" t="s">
        <v>9</v>
      </c>
      <c r="J6" s="1" t="s">
        <v>12</v>
      </c>
      <c r="K6" t="s">
        <v>9</v>
      </c>
    </row>
    <row r="7" spans="1:11" x14ac:dyDescent="0.35">
      <c r="A7" t="s">
        <v>7</v>
      </c>
      <c r="B7" t="s">
        <v>8</v>
      </c>
      <c r="D7" s="1" t="s">
        <v>7</v>
      </c>
      <c r="G7" t="s">
        <v>7</v>
      </c>
      <c r="H7" t="s">
        <v>8</v>
      </c>
      <c r="J7" s="1" t="s">
        <v>7</v>
      </c>
    </row>
    <row r="8" spans="1:11" ht="15.5" x14ac:dyDescent="0.35">
      <c r="D8" s="1"/>
      <c r="F8" s="47" t="s">
        <v>44</v>
      </c>
      <c r="J8" s="1"/>
    </row>
    <row r="9" spans="1:11" x14ac:dyDescent="0.35">
      <c r="A9" s="36">
        <v>0</v>
      </c>
      <c r="B9" s="37">
        <v>0</v>
      </c>
      <c r="C9" s="37">
        <f t="shared" ref="C9:C29" si="0">+A9-B9</f>
        <v>0</v>
      </c>
      <c r="D9" s="5">
        <v>1</v>
      </c>
      <c r="E9" s="37">
        <f t="shared" ref="E9:E29" si="1">+A9-D9</f>
        <v>-1</v>
      </c>
      <c r="F9" t="s">
        <v>24</v>
      </c>
      <c r="G9" s="36">
        <f>A9+'Feb Statistics'!G9</f>
        <v>0</v>
      </c>
      <c r="H9" s="37">
        <f>B9+'Feb Statistics'!H9</f>
        <v>0</v>
      </c>
      <c r="I9" s="37">
        <f>+G9-H9</f>
        <v>0</v>
      </c>
      <c r="J9" s="5">
        <f>'[2]Feb Statistics'!J9+'[2]Mar Statistic'!D9</f>
        <v>4</v>
      </c>
      <c r="K9" s="37">
        <f>+G9-J9</f>
        <v>-4</v>
      </c>
    </row>
    <row r="10" spans="1:11" x14ac:dyDescent="0.35">
      <c r="A10" s="36">
        <v>0</v>
      </c>
      <c r="B10" s="37">
        <v>0</v>
      </c>
      <c r="C10" s="37">
        <f t="shared" si="0"/>
        <v>0</v>
      </c>
      <c r="D10" s="5">
        <v>0</v>
      </c>
      <c r="E10" s="37">
        <f t="shared" si="1"/>
        <v>0</v>
      </c>
      <c r="F10" t="s">
        <v>25</v>
      </c>
      <c r="G10" s="36">
        <f>A10+'Feb Statistics'!G10</f>
        <v>0</v>
      </c>
      <c r="H10" s="37">
        <f>B10+'Feb Statistics'!H10</f>
        <v>0</v>
      </c>
      <c r="I10" s="37">
        <f t="shared" ref="I10:I27" si="2">+G10-H10</f>
        <v>0</v>
      </c>
      <c r="J10" s="5">
        <f>'[2]Feb Statistics'!J10+'[2]Mar Statistic'!D10</f>
        <v>74</v>
      </c>
      <c r="K10" s="37">
        <f t="shared" ref="K10:K27" si="3">+G10-J10</f>
        <v>-74</v>
      </c>
    </row>
    <row r="11" spans="1:11" x14ac:dyDescent="0.35">
      <c r="A11" s="36">
        <v>0</v>
      </c>
      <c r="B11" s="37">
        <v>0</v>
      </c>
      <c r="C11" s="37">
        <f t="shared" si="0"/>
        <v>0</v>
      </c>
      <c r="D11" s="5">
        <v>0</v>
      </c>
      <c r="E11" s="37">
        <f t="shared" si="1"/>
        <v>0</v>
      </c>
      <c r="F11" t="s">
        <v>26</v>
      </c>
      <c r="G11" s="36">
        <f>A11+'Feb Statistics'!G11</f>
        <v>0</v>
      </c>
      <c r="H11" s="37">
        <f>B11+'Feb Statistics'!H11</f>
        <v>0</v>
      </c>
      <c r="I11" s="37">
        <f t="shared" si="2"/>
        <v>0</v>
      </c>
      <c r="J11" s="5">
        <f>'[2]Feb Statistics'!J11+'[2]Mar Statistic'!D11</f>
        <v>1</v>
      </c>
      <c r="K11" s="37">
        <f t="shared" si="3"/>
        <v>-1</v>
      </c>
    </row>
    <row r="12" spans="1:11" x14ac:dyDescent="0.35">
      <c r="A12" s="36">
        <v>0</v>
      </c>
      <c r="B12" s="37">
        <v>0</v>
      </c>
      <c r="C12" s="37">
        <f t="shared" si="0"/>
        <v>0</v>
      </c>
      <c r="D12" s="5">
        <v>0</v>
      </c>
      <c r="E12" s="37">
        <f t="shared" si="1"/>
        <v>0</v>
      </c>
      <c r="F12" t="s">
        <v>27</v>
      </c>
      <c r="G12" s="36">
        <f>A12+'Feb Statistics'!G12</f>
        <v>0</v>
      </c>
      <c r="H12" s="37">
        <f>B12+'Feb Statistics'!H12</f>
        <v>0</v>
      </c>
      <c r="I12" s="37">
        <f t="shared" si="2"/>
        <v>0</v>
      </c>
      <c r="J12" s="5">
        <f>'[2]Feb Statistics'!J12+'[2]Mar Statistic'!D12</f>
        <v>5</v>
      </c>
      <c r="K12" s="37">
        <f t="shared" si="3"/>
        <v>-5</v>
      </c>
    </row>
    <row r="13" spans="1:11" x14ac:dyDescent="0.35">
      <c r="A13" s="36">
        <v>2</v>
      </c>
      <c r="B13" s="37">
        <v>5</v>
      </c>
      <c r="C13" s="37">
        <f t="shared" si="0"/>
        <v>-3</v>
      </c>
      <c r="D13" s="5">
        <v>6</v>
      </c>
      <c r="E13" s="37">
        <f t="shared" si="1"/>
        <v>-4</v>
      </c>
      <c r="F13" t="s">
        <v>28</v>
      </c>
      <c r="G13" s="36">
        <f>A13+'Feb Statistics'!G13</f>
        <v>3</v>
      </c>
      <c r="H13" s="37">
        <f>B13+'Feb Statistics'!H13</f>
        <v>11</v>
      </c>
      <c r="I13" s="37">
        <f t="shared" si="2"/>
        <v>-8</v>
      </c>
      <c r="J13" s="5">
        <f>'[2]Feb Statistics'!J13+'[2]Mar Statistic'!D13</f>
        <v>8</v>
      </c>
      <c r="K13" s="37">
        <f t="shared" si="3"/>
        <v>-5</v>
      </c>
    </row>
    <row r="14" spans="1:11" x14ac:dyDescent="0.35">
      <c r="A14" s="36">
        <v>28</v>
      </c>
      <c r="B14" s="37">
        <v>200</v>
      </c>
      <c r="C14" s="37">
        <f t="shared" si="0"/>
        <v>-172</v>
      </c>
      <c r="D14" s="5">
        <v>199</v>
      </c>
      <c r="E14" s="37">
        <f t="shared" si="1"/>
        <v>-171</v>
      </c>
      <c r="F14" t="s">
        <v>29</v>
      </c>
      <c r="G14" s="36">
        <f>A14+'Feb Statistics'!G14</f>
        <v>44</v>
      </c>
      <c r="H14" s="37">
        <f>B14+'Feb Statistics'!H14</f>
        <v>430</v>
      </c>
      <c r="I14" s="37">
        <f t="shared" si="2"/>
        <v>-386</v>
      </c>
      <c r="J14" s="5">
        <f>'[2]Feb Statistics'!J14+'[2]Mar Statistic'!D14</f>
        <v>296</v>
      </c>
      <c r="K14" s="37">
        <f t="shared" si="3"/>
        <v>-252</v>
      </c>
    </row>
    <row r="15" spans="1:11" x14ac:dyDescent="0.35">
      <c r="A15" s="36">
        <v>0</v>
      </c>
      <c r="B15" s="37">
        <v>0</v>
      </c>
      <c r="C15" s="37">
        <f t="shared" si="0"/>
        <v>0</v>
      </c>
      <c r="D15" s="5">
        <v>1</v>
      </c>
      <c r="E15" s="37">
        <f t="shared" si="1"/>
        <v>-1</v>
      </c>
      <c r="F15" t="s">
        <v>30</v>
      </c>
      <c r="G15" s="36">
        <f>A15+'Feb Statistics'!G15</f>
        <v>0</v>
      </c>
      <c r="H15" s="37">
        <f>B15+'Feb Statistics'!H15</f>
        <v>0</v>
      </c>
      <c r="I15" s="37">
        <f t="shared" si="2"/>
        <v>0</v>
      </c>
      <c r="J15" s="5">
        <f>'[2]Feb Statistics'!J15+'[2]Mar Statistic'!D15</f>
        <v>14</v>
      </c>
      <c r="K15" s="37">
        <f t="shared" si="3"/>
        <v>-14</v>
      </c>
    </row>
    <row r="16" spans="1:11" x14ac:dyDescent="0.35">
      <c r="A16" s="36">
        <v>0</v>
      </c>
      <c r="B16" s="37">
        <v>0</v>
      </c>
      <c r="C16" s="37">
        <f t="shared" si="0"/>
        <v>0</v>
      </c>
      <c r="D16" s="5">
        <v>86</v>
      </c>
      <c r="E16" s="37">
        <f t="shared" si="1"/>
        <v>-86</v>
      </c>
      <c r="F16" t="s">
        <v>31</v>
      </c>
      <c r="G16" s="36">
        <f>A16+'Feb Statistics'!G16</f>
        <v>0</v>
      </c>
      <c r="H16" s="37">
        <f>B16+'Feb Statistics'!H16</f>
        <v>0</v>
      </c>
      <c r="I16" s="37">
        <f t="shared" si="2"/>
        <v>0</v>
      </c>
      <c r="J16" s="5">
        <f>'[2]Feb Statistics'!J16+'[2]Mar Statistic'!D16</f>
        <v>801</v>
      </c>
      <c r="K16" s="37">
        <f t="shared" si="3"/>
        <v>-801</v>
      </c>
    </row>
    <row r="17" spans="1:11" x14ac:dyDescent="0.35">
      <c r="A17" s="36">
        <v>0</v>
      </c>
      <c r="B17" s="36">
        <v>0</v>
      </c>
      <c r="C17" s="37">
        <f t="shared" si="0"/>
        <v>0</v>
      </c>
      <c r="D17" s="5">
        <v>0</v>
      </c>
      <c r="E17" s="37">
        <f t="shared" si="1"/>
        <v>0</v>
      </c>
      <c r="F17" t="s">
        <v>32</v>
      </c>
      <c r="G17" s="36">
        <f>A17+'Feb Statistics'!G17</f>
        <v>0</v>
      </c>
      <c r="H17" s="37">
        <f>B17+'Feb Statistics'!H17</f>
        <v>0</v>
      </c>
      <c r="I17" s="37">
        <f t="shared" si="2"/>
        <v>0</v>
      </c>
      <c r="J17" s="5">
        <f>'[2]Feb Statistics'!J17+'[2]Mar Statistic'!D17</f>
        <v>7</v>
      </c>
      <c r="K17" s="37">
        <f t="shared" si="3"/>
        <v>-7</v>
      </c>
    </row>
    <row r="18" spans="1:11" x14ac:dyDescent="0.35">
      <c r="A18" s="36">
        <v>0</v>
      </c>
      <c r="B18" s="36">
        <v>0</v>
      </c>
      <c r="C18" s="37">
        <f t="shared" si="0"/>
        <v>0</v>
      </c>
      <c r="D18" s="5">
        <v>0</v>
      </c>
      <c r="E18" s="37">
        <f t="shared" si="1"/>
        <v>0</v>
      </c>
      <c r="F18" t="s">
        <v>33</v>
      </c>
      <c r="G18" s="36">
        <f>A18+'Feb Statistics'!G18</f>
        <v>0</v>
      </c>
      <c r="H18" s="37">
        <f>B18+'Feb Statistics'!H18</f>
        <v>0</v>
      </c>
      <c r="I18" s="37">
        <f t="shared" si="2"/>
        <v>0</v>
      </c>
      <c r="J18" s="5">
        <f>'[2]Feb Statistics'!J18+'[2]Mar Statistic'!D18</f>
        <v>213</v>
      </c>
      <c r="K18" s="37">
        <f t="shared" si="3"/>
        <v>-213</v>
      </c>
    </row>
    <row r="19" spans="1:11" x14ac:dyDescent="0.35">
      <c r="A19" s="36">
        <v>0</v>
      </c>
      <c r="B19" s="36">
        <v>2</v>
      </c>
      <c r="C19" s="37">
        <f t="shared" si="0"/>
        <v>-2</v>
      </c>
      <c r="D19" s="5">
        <v>4</v>
      </c>
      <c r="E19" s="37">
        <f t="shared" si="1"/>
        <v>-4</v>
      </c>
      <c r="F19" t="s">
        <v>34</v>
      </c>
      <c r="G19" s="36">
        <f>A19+'Feb Statistics'!G19</f>
        <v>0</v>
      </c>
      <c r="H19" s="37">
        <f>B19+'Feb Statistics'!H19</f>
        <v>4</v>
      </c>
      <c r="I19" s="37">
        <f t="shared" si="2"/>
        <v>-4</v>
      </c>
      <c r="J19" s="5">
        <f>'[2]Feb Statistics'!J19+'[2]Mar Statistic'!D19</f>
        <v>17</v>
      </c>
      <c r="K19" s="37">
        <f t="shared" si="3"/>
        <v>-17</v>
      </c>
    </row>
    <row r="20" spans="1:11" x14ac:dyDescent="0.35">
      <c r="A20" s="36">
        <v>0</v>
      </c>
      <c r="B20" s="36">
        <v>80</v>
      </c>
      <c r="C20" s="37">
        <f t="shared" si="0"/>
        <v>-80</v>
      </c>
      <c r="D20" s="5">
        <v>139</v>
      </c>
      <c r="E20" s="37">
        <f t="shared" si="1"/>
        <v>-139</v>
      </c>
      <c r="F20" t="s">
        <v>35</v>
      </c>
      <c r="G20" s="36">
        <f>A20+'Feb Statistics'!G20</f>
        <v>0</v>
      </c>
      <c r="H20" s="37">
        <f>B20+'Feb Statistics'!H20</f>
        <v>160</v>
      </c>
      <c r="I20" s="37">
        <f t="shared" si="2"/>
        <v>-160</v>
      </c>
      <c r="J20" s="5">
        <f>'[2]Feb Statistics'!J20+'[2]Mar Statistic'!D20</f>
        <v>620</v>
      </c>
      <c r="K20" s="37">
        <f t="shared" si="3"/>
        <v>-620</v>
      </c>
    </row>
    <row r="21" spans="1:11" x14ac:dyDescent="0.35">
      <c r="A21" s="36">
        <v>0</v>
      </c>
      <c r="B21" s="36">
        <v>2</v>
      </c>
      <c r="C21" s="37">
        <f t="shared" si="0"/>
        <v>-2</v>
      </c>
      <c r="D21" s="5">
        <v>13</v>
      </c>
      <c r="E21" s="37">
        <f t="shared" si="1"/>
        <v>-13</v>
      </c>
      <c r="F21" t="s">
        <v>36</v>
      </c>
      <c r="G21" s="36">
        <f>A21+'Feb Statistics'!G21</f>
        <v>0</v>
      </c>
      <c r="H21" s="37">
        <f>B21+'Feb Statistics'!H21</f>
        <v>4</v>
      </c>
      <c r="I21" s="37">
        <f t="shared" si="2"/>
        <v>-4</v>
      </c>
      <c r="J21" s="5">
        <f>'[2]Feb Statistics'!J21+'[2]Mar Statistic'!D21</f>
        <v>35</v>
      </c>
      <c r="K21" s="37">
        <f t="shared" si="3"/>
        <v>-35</v>
      </c>
    </row>
    <row r="22" spans="1:11" x14ac:dyDescent="0.35">
      <c r="A22" s="36">
        <v>0</v>
      </c>
      <c r="B22" s="36">
        <v>69</v>
      </c>
      <c r="C22" s="37">
        <f t="shared" si="0"/>
        <v>-69</v>
      </c>
      <c r="D22" s="5">
        <v>377</v>
      </c>
      <c r="E22" s="37">
        <f t="shared" si="1"/>
        <v>-377</v>
      </c>
      <c r="F22" t="s">
        <v>37</v>
      </c>
      <c r="G22" s="36">
        <f>A22+'Feb Statistics'!G22</f>
        <v>0</v>
      </c>
      <c r="H22" s="37">
        <f>B22+'Feb Statistics'!H22</f>
        <v>138</v>
      </c>
      <c r="I22" s="37">
        <f t="shared" si="2"/>
        <v>-138</v>
      </c>
      <c r="J22" s="5">
        <f>'[2]Feb Statistics'!J22+'[2]Mar Statistic'!D22</f>
        <v>1234</v>
      </c>
      <c r="K22" s="37">
        <f t="shared" si="3"/>
        <v>-1234</v>
      </c>
    </row>
    <row r="23" spans="1:11" x14ac:dyDescent="0.35">
      <c r="A23" s="36">
        <f>A9+A11+A13+A15+A17+A21</f>
        <v>2</v>
      </c>
      <c r="B23" s="36">
        <f t="shared" ref="B23:E24" si="4">B9+B11+B13+B15+B17+B21</f>
        <v>7</v>
      </c>
      <c r="C23" s="36">
        <f t="shared" si="4"/>
        <v>-5</v>
      </c>
      <c r="D23" s="5">
        <f>D9+D11+D13+D15+D19+D21+D17</f>
        <v>25</v>
      </c>
      <c r="E23" s="36">
        <f t="shared" si="4"/>
        <v>-19</v>
      </c>
      <c r="F23" s="32" t="s">
        <v>40</v>
      </c>
      <c r="G23" s="36">
        <f>A23+'Feb Statistics'!G23</f>
        <v>3</v>
      </c>
      <c r="H23" s="37">
        <f>B23+'Feb Statistics'!H23</f>
        <v>15</v>
      </c>
      <c r="I23" s="37">
        <f t="shared" si="2"/>
        <v>-12</v>
      </c>
      <c r="J23" s="5">
        <f>'[2]Feb Statistics'!J23+'[2]Mar Statistic'!D23</f>
        <v>77</v>
      </c>
      <c r="K23" s="37">
        <f t="shared" si="3"/>
        <v>-74</v>
      </c>
    </row>
    <row r="24" spans="1:11" x14ac:dyDescent="0.35">
      <c r="A24" s="36">
        <f>A10+A12+A14+A16+A18+A22</f>
        <v>28</v>
      </c>
      <c r="B24" s="36">
        <f t="shared" si="4"/>
        <v>269</v>
      </c>
      <c r="C24" s="36">
        <f t="shared" si="4"/>
        <v>-241</v>
      </c>
      <c r="D24" s="5">
        <f>D10+D12+D14+D16+D18+D20+D22</f>
        <v>801</v>
      </c>
      <c r="E24" s="36">
        <f t="shared" si="4"/>
        <v>-634</v>
      </c>
      <c r="F24" s="32" t="s">
        <v>41</v>
      </c>
      <c r="G24" s="36">
        <f>A24+'Feb Statistics'!G24</f>
        <v>44</v>
      </c>
      <c r="H24" s="37">
        <f>B24+'Feb Statistics'!H24</f>
        <v>568</v>
      </c>
      <c r="I24" s="37">
        <f t="shared" si="2"/>
        <v>-524</v>
      </c>
      <c r="J24" s="5">
        <f>'[2]Feb Statistics'!J24+'[2]Mar Statistic'!D24</f>
        <v>3243</v>
      </c>
      <c r="K24" s="37">
        <f t="shared" si="3"/>
        <v>-3199</v>
      </c>
    </row>
    <row r="25" spans="1:11" x14ac:dyDescent="0.35">
      <c r="A25" s="36">
        <v>8</v>
      </c>
      <c r="B25" s="36">
        <v>100</v>
      </c>
      <c r="C25" s="37">
        <f t="shared" si="0"/>
        <v>-92</v>
      </c>
      <c r="D25" s="5">
        <v>3635</v>
      </c>
      <c r="E25" s="37">
        <f t="shared" si="1"/>
        <v>-3627</v>
      </c>
      <c r="F25" t="s">
        <v>39</v>
      </c>
      <c r="G25" s="36">
        <f>A25+'Feb Statistics'!G25</f>
        <v>27</v>
      </c>
      <c r="H25" s="37">
        <f>B25+'Feb Statistics'!H25</f>
        <v>250</v>
      </c>
      <c r="I25" s="37">
        <f t="shared" si="2"/>
        <v>-223</v>
      </c>
      <c r="J25" s="5">
        <f>'[2]Feb Statistics'!J25+'[2]Mar Statistic'!D25</f>
        <v>7635</v>
      </c>
      <c r="K25" s="37">
        <f t="shared" si="3"/>
        <v>-7608</v>
      </c>
    </row>
    <row r="26" spans="1:11" x14ac:dyDescent="0.35">
      <c r="A26" s="36">
        <f>A24+A25</f>
        <v>36</v>
      </c>
      <c r="B26" s="36">
        <f t="shared" ref="B26:E26" si="5">B24+B25</f>
        <v>369</v>
      </c>
      <c r="C26" s="36">
        <f t="shared" si="5"/>
        <v>-333</v>
      </c>
      <c r="D26" s="5">
        <f>D24+D25</f>
        <v>4436</v>
      </c>
      <c r="E26" s="36">
        <f t="shared" si="5"/>
        <v>-4261</v>
      </c>
      <c r="F26" s="32" t="s">
        <v>42</v>
      </c>
      <c r="G26" s="36">
        <f>A26+'Feb Statistics'!G26</f>
        <v>71</v>
      </c>
      <c r="H26" s="37">
        <f>B26+'Feb Statistics'!H26</f>
        <v>818</v>
      </c>
      <c r="I26" s="37">
        <f t="shared" si="2"/>
        <v>-747</v>
      </c>
      <c r="J26" s="5">
        <f>'[2]Feb Statistics'!J26+'[2]Mar Statistic'!D26</f>
        <v>10878</v>
      </c>
      <c r="K26" s="37">
        <f t="shared" si="3"/>
        <v>-10807</v>
      </c>
    </row>
    <row r="27" spans="1:11" x14ac:dyDescent="0.35">
      <c r="A27" s="36">
        <v>2</v>
      </c>
      <c r="B27" s="37">
        <v>2</v>
      </c>
      <c r="C27" s="37">
        <f t="shared" si="0"/>
        <v>0</v>
      </c>
      <c r="D27" s="5">
        <v>4</v>
      </c>
      <c r="E27" s="37">
        <f t="shared" si="1"/>
        <v>-2</v>
      </c>
      <c r="F27" t="s">
        <v>38</v>
      </c>
      <c r="G27" s="36">
        <f>A27+'Feb Statistics'!G27</f>
        <v>4</v>
      </c>
      <c r="H27" s="37">
        <f>B27+'Feb Statistics'!H27</f>
        <v>5</v>
      </c>
      <c r="I27" s="37">
        <f t="shared" si="2"/>
        <v>-1</v>
      </c>
      <c r="J27" s="5">
        <f>'[2]Feb Statistics'!J27+'[2]Mar Statistic'!D27</f>
        <v>9</v>
      </c>
      <c r="K27" s="37">
        <f t="shared" si="3"/>
        <v>-5</v>
      </c>
    </row>
    <row r="28" spans="1:11" x14ac:dyDescent="0.35">
      <c r="G28" s="36"/>
      <c r="H28" s="37"/>
      <c r="I28" s="37"/>
      <c r="J28" s="5"/>
      <c r="K28" s="37"/>
    </row>
    <row r="29" spans="1:11" x14ac:dyDescent="0.35">
      <c r="A29">
        <f>1378+1507</f>
        <v>2885</v>
      </c>
      <c r="B29">
        <v>3800</v>
      </c>
      <c r="C29" s="6">
        <f t="shared" si="0"/>
        <v>-915</v>
      </c>
      <c r="D29">
        <f>2658+2594</f>
        <v>5252</v>
      </c>
      <c r="E29" s="6">
        <f t="shared" si="1"/>
        <v>-2367</v>
      </c>
      <c r="F29" t="s">
        <v>45</v>
      </c>
      <c r="G29" s="36">
        <f>A29+'Feb Statistics'!G29</f>
        <v>9039</v>
      </c>
      <c r="H29" s="37">
        <f>B29+'Feb Statistics'!H29</f>
        <v>11400</v>
      </c>
      <c r="I29" s="6">
        <f t="shared" ref="I29" si="6">+G29-H29</f>
        <v>-2361</v>
      </c>
      <c r="J29" s="5">
        <f>'[2]Feb Statistics'!J29+'[2]Mar Statistic'!D29</f>
        <v>13920</v>
      </c>
      <c r="K29" s="6">
        <f t="shared" ref="K29" si="7">+G29-J29</f>
        <v>-4881</v>
      </c>
    </row>
  </sheetData>
  <pageMargins left="0.7" right="0.7" top="0.75" bottom="0.75" header="0.3" footer="0.3"/>
  <pageSetup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46"/>
  <sheetViews>
    <sheetView tabSelected="1" workbookViewId="0">
      <selection activeCell="O46" sqref="O46"/>
    </sheetView>
  </sheetViews>
  <sheetFormatPr defaultRowHeight="14.5" x14ac:dyDescent="0.35"/>
  <cols>
    <col min="1" max="1" width="13.453125" customWidth="1"/>
    <col min="2" max="2" width="13.54296875" customWidth="1"/>
    <col min="3" max="3" width="12.81640625" customWidth="1"/>
    <col min="4" max="4" width="13.453125" style="1" bestFit="1" customWidth="1"/>
    <col min="5" max="5" width="12" customWidth="1"/>
    <col min="6" max="6" width="28.81640625" customWidth="1"/>
    <col min="7" max="7" width="13.453125" style="40" bestFit="1" customWidth="1"/>
    <col min="8" max="8" width="12.54296875" customWidth="1"/>
    <col min="9" max="9" width="14.1796875" customWidth="1"/>
    <col min="10" max="10" width="12.453125" style="1" bestFit="1" customWidth="1"/>
    <col min="11" max="11" width="14.453125" customWidth="1"/>
  </cols>
  <sheetData>
    <row r="1" spans="1:11" x14ac:dyDescent="0.35">
      <c r="A1" t="s">
        <v>47</v>
      </c>
    </row>
    <row r="2" spans="1:11" x14ac:dyDescent="0.35">
      <c r="A2" t="s">
        <v>46</v>
      </c>
    </row>
    <row r="3" spans="1:11" x14ac:dyDescent="0.35">
      <c r="A3" s="7">
        <v>43951</v>
      </c>
    </row>
    <row r="4" spans="1:11" x14ac:dyDescent="0.35">
      <c r="B4" s="35"/>
    </row>
    <row r="5" spans="1:11" x14ac:dyDescent="0.35">
      <c r="A5" t="s">
        <v>48</v>
      </c>
      <c r="B5" s="34" t="s">
        <v>48</v>
      </c>
      <c r="D5" s="1" t="s">
        <v>49</v>
      </c>
      <c r="G5" s="40" t="s">
        <v>48</v>
      </c>
      <c r="H5" t="s">
        <v>48</v>
      </c>
      <c r="J5" s="1" t="s">
        <v>49</v>
      </c>
    </row>
    <row r="6" spans="1:11" x14ac:dyDescent="0.35">
      <c r="A6" t="s">
        <v>6</v>
      </c>
      <c r="B6" s="34" t="s">
        <v>6</v>
      </c>
      <c r="C6" t="s">
        <v>9</v>
      </c>
      <c r="D6" s="1" t="s">
        <v>6</v>
      </c>
      <c r="E6" t="s">
        <v>9</v>
      </c>
      <c r="G6" s="40" t="s">
        <v>12</v>
      </c>
      <c r="H6" t="s">
        <v>12</v>
      </c>
      <c r="I6" t="s">
        <v>9</v>
      </c>
      <c r="J6" s="1" t="s">
        <v>12</v>
      </c>
      <c r="K6" t="s">
        <v>9</v>
      </c>
    </row>
    <row r="7" spans="1:11" x14ac:dyDescent="0.35">
      <c r="A7" t="s">
        <v>7</v>
      </c>
      <c r="B7" s="34" t="s">
        <v>8</v>
      </c>
      <c r="D7" s="1" t="s">
        <v>7</v>
      </c>
      <c r="G7" s="40" t="s">
        <v>7</v>
      </c>
      <c r="H7" t="s">
        <v>8</v>
      </c>
      <c r="J7" s="1" t="s">
        <v>7</v>
      </c>
    </row>
    <row r="8" spans="1:11" x14ac:dyDescent="0.35">
      <c r="B8" s="34"/>
      <c r="F8" s="38" t="s">
        <v>14</v>
      </c>
    </row>
    <row r="9" spans="1:11" x14ac:dyDescent="0.35">
      <c r="A9" s="1">
        <v>0</v>
      </c>
      <c r="B9" s="10">
        <f>2500+16500</f>
        <v>19000</v>
      </c>
      <c r="C9" s="2">
        <f>+A9-B9</f>
        <v>-19000</v>
      </c>
      <c r="D9" s="1">
        <f>2972+20697+7472+32664+698</f>
        <v>64503</v>
      </c>
      <c r="E9" s="2">
        <f>+A9-D9</f>
        <v>-64503</v>
      </c>
      <c r="F9" t="s">
        <v>52</v>
      </c>
      <c r="G9" s="41">
        <f>A9+'Mar Income'!G9</f>
        <v>549</v>
      </c>
      <c r="H9" s="41">
        <f>B9+'Mar Income'!H9</f>
        <v>48000</v>
      </c>
      <c r="I9" s="2">
        <f>+G9-H9</f>
        <v>-47451</v>
      </c>
      <c r="J9" s="2">
        <f>D9+'Mar Income'!J9</f>
        <v>141954</v>
      </c>
      <c r="K9" s="2">
        <f>+G9-J9</f>
        <v>-141405</v>
      </c>
    </row>
    <row r="10" spans="1:11" x14ac:dyDescent="0.35">
      <c r="A10" s="1">
        <f>799</f>
        <v>799</v>
      </c>
      <c r="B10" s="10">
        <f>10200+1200+1600</f>
        <v>13000</v>
      </c>
      <c r="C10" s="2">
        <f>+A10-B10</f>
        <v>-12201</v>
      </c>
      <c r="D10" s="1">
        <f>5645.25+520+14691.25+256+2397</f>
        <v>23509.5</v>
      </c>
      <c r="E10" s="2">
        <f>+A10-D10</f>
        <v>-22710.5</v>
      </c>
      <c r="F10" t="s">
        <v>53</v>
      </c>
      <c r="G10" s="41">
        <f>A10+'Mar Income'!G10</f>
        <v>3995</v>
      </c>
      <c r="H10" s="41">
        <f>B10+'Mar Income'!H10</f>
        <v>28840</v>
      </c>
      <c r="I10" s="2">
        <f>+G10-H10</f>
        <v>-24845</v>
      </c>
      <c r="J10" s="2">
        <f>D10+'Mar Income'!J10</f>
        <v>54691.5</v>
      </c>
      <c r="K10" s="2">
        <f>+G10-J10</f>
        <v>-50696.5</v>
      </c>
    </row>
    <row r="11" spans="1:11" x14ac:dyDescent="0.35">
      <c r="A11" s="3">
        <v>0</v>
      </c>
      <c r="B11" s="11"/>
      <c r="C11" s="4">
        <f>+A11-B11</f>
        <v>0</v>
      </c>
      <c r="D11" s="3"/>
      <c r="E11" s="4">
        <f>+A11-D11</f>
        <v>0</v>
      </c>
      <c r="F11" t="s">
        <v>51</v>
      </c>
      <c r="G11" s="42">
        <f>A11+'Mar Income'!G11</f>
        <v>0</v>
      </c>
      <c r="H11" s="42">
        <f>B11+'Mar Income'!H11</f>
        <v>0</v>
      </c>
      <c r="I11" s="4">
        <f>+G11-H11</f>
        <v>0</v>
      </c>
      <c r="J11" s="4">
        <f>D11+'Mar Income'!J11</f>
        <v>0</v>
      </c>
      <c r="K11" s="4">
        <f>+G11-J11</f>
        <v>0</v>
      </c>
    </row>
    <row r="12" spans="1:11" x14ac:dyDescent="0.35">
      <c r="A12" s="1">
        <f>+A11+A10+A9</f>
        <v>799</v>
      </c>
      <c r="B12" s="1">
        <f>+B11+B10+B9</f>
        <v>32000</v>
      </c>
      <c r="C12" s="1">
        <f>+C11+C10+C9</f>
        <v>-31201</v>
      </c>
      <c r="D12" s="1">
        <f>+D11+D10+D9</f>
        <v>88012.5</v>
      </c>
      <c r="E12" s="1">
        <f>+E11+E10+E9</f>
        <v>-87213.5</v>
      </c>
      <c r="F12" t="s">
        <v>13</v>
      </c>
      <c r="G12" s="41">
        <f>SUM(G9:G11)</f>
        <v>4544</v>
      </c>
      <c r="H12" s="41">
        <f>SUM(H9:H11)</f>
        <v>76840</v>
      </c>
      <c r="I12" s="1">
        <f>+I11+I10+I9</f>
        <v>-72296</v>
      </c>
      <c r="J12" s="2">
        <f>SUM(J9:J11)</f>
        <v>196645.5</v>
      </c>
      <c r="K12" s="1">
        <f>+K11+K10+K9</f>
        <v>-192101.5</v>
      </c>
    </row>
    <row r="13" spans="1:11" x14ac:dyDescent="0.35">
      <c r="A13" s="1"/>
      <c r="C13" s="2"/>
      <c r="E13" s="2"/>
      <c r="G13" s="41"/>
      <c r="H13" s="41"/>
      <c r="I13" s="2"/>
      <c r="J13" s="2">
        <f>D13+'Mar Income'!J13</f>
        <v>0</v>
      </c>
      <c r="K13" s="2"/>
    </row>
    <row r="14" spans="1:11" x14ac:dyDescent="0.35">
      <c r="A14" s="1">
        <f>7608.63+3.33</f>
        <v>7611.96</v>
      </c>
      <c r="B14" s="10">
        <f>2500+1000+6101+3000</f>
        <v>12601</v>
      </c>
      <c r="C14" s="2">
        <f>+A14-B14</f>
        <v>-4989.04</v>
      </c>
      <c r="D14" s="1">
        <f>5444.44+5000+659.74</f>
        <v>11104.179999999998</v>
      </c>
      <c r="E14" s="2">
        <f>+A14-D14</f>
        <v>-3492.2199999999984</v>
      </c>
      <c r="F14" t="s">
        <v>62</v>
      </c>
      <c r="G14" s="41">
        <f>A14+'Mar Income'!G14</f>
        <v>35105.14</v>
      </c>
      <c r="H14" s="41">
        <f>B14+'Mar Income'!H14</f>
        <v>47892</v>
      </c>
      <c r="I14" s="2">
        <f>+G14-H14</f>
        <v>-12786.86</v>
      </c>
      <c r="J14" s="2">
        <f>D14+'Mar Income'!J14</f>
        <v>23580.18</v>
      </c>
      <c r="K14" s="2">
        <f>+G14-J14</f>
        <v>11524.96</v>
      </c>
    </row>
    <row r="15" spans="1:11" x14ac:dyDescent="0.35">
      <c r="A15" s="3">
        <v>0</v>
      </c>
      <c r="B15" s="11">
        <v>5200</v>
      </c>
      <c r="C15" s="4">
        <f>+A15-B15</f>
        <v>-5200</v>
      </c>
      <c r="D15" s="3">
        <v>1723.86</v>
      </c>
      <c r="E15" s="4">
        <f>+A15-D15</f>
        <v>-1723.86</v>
      </c>
      <c r="F15" t="s">
        <v>17</v>
      </c>
      <c r="G15" s="42">
        <f>A15+'Mar Income'!G15</f>
        <v>163.6</v>
      </c>
      <c r="H15" s="42">
        <f>B15+'Mar Income'!H15</f>
        <v>14400</v>
      </c>
      <c r="I15" s="4">
        <f>+G15-H15</f>
        <v>-14236.4</v>
      </c>
      <c r="J15" s="4">
        <f>D15+'Mar Income'!J15</f>
        <v>9664.32</v>
      </c>
      <c r="K15" s="4">
        <f>+G15-J15</f>
        <v>-9500.7199999999993</v>
      </c>
    </row>
    <row r="16" spans="1:11" x14ac:dyDescent="0.35">
      <c r="A16" s="1">
        <f>+A15+A14</f>
        <v>7611.96</v>
      </c>
      <c r="B16" s="1">
        <f>+B15+B14</f>
        <v>17801</v>
      </c>
      <c r="C16" s="1">
        <f>+C15+C14</f>
        <v>-10189.040000000001</v>
      </c>
      <c r="D16" s="1">
        <f>+D15+D14</f>
        <v>12828.039999999999</v>
      </c>
      <c r="E16" s="1">
        <f>+E15+E14</f>
        <v>-5216.0799999999981</v>
      </c>
      <c r="F16" t="s">
        <v>15</v>
      </c>
      <c r="G16" s="41">
        <f>SUM(G14:G15)</f>
        <v>35268.74</v>
      </c>
      <c r="H16" s="41">
        <f>SUM(H14:H15)</f>
        <v>62292</v>
      </c>
      <c r="I16" s="1">
        <f>+I15+I14</f>
        <v>-27023.260000000002</v>
      </c>
      <c r="J16" s="2">
        <f>SUM(J14:J15)</f>
        <v>33244.5</v>
      </c>
      <c r="K16" s="1">
        <f>+K15+K14</f>
        <v>2024.2399999999998</v>
      </c>
    </row>
    <row r="17" spans="1:14" x14ac:dyDescent="0.35">
      <c r="A17" s="1"/>
      <c r="C17" s="2"/>
      <c r="E17" s="2"/>
      <c r="G17" s="41"/>
      <c r="H17" s="41"/>
      <c r="I17" s="2"/>
      <c r="J17" s="2">
        <f>D17+'Mar Income'!J17</f>
        <v>0</v>
      </c>
      <c r="K17" s="2"/>
    </row>
    <row r="18" spans="1:14" x14ac:dyDescent="0.35">
      <c r="A18" s="1">
        <f>A16+A12</f>
        <v>8410.9599999999991</v>
      </c>
      <c r="B18" s="1">
        <f>+B16+B12</f>
        <v>49801</v>
      </c>
      <c r="C18" s="1">
        <f>+C16+C12</f>
        <v>-41390.04</v>
      </c>
      <c r="D18" s="1">
        <f>D16+D12</f>
        <v>100840.54</v>
      </c>
      <c r="E18" s="1">
        <f>+E16+E12</f>
        <v>-92429.58</v>
      </c>
      <c r="F18" t="s">
        <v>16</v>
      </c>
      <c r="G18" s="41">
        <f>G12+G16</f>
        <v>39812.74</v>
      </c>
      <c r="H18" s="41">
        <f>H12+H16</f>
        <v>139132</v>
      </c>
      <c r="I18" s="1">
        <f>I16+I12</f>
        <v>-99319.260000000009</v>
      </c>
      <c r="J18" s="2">
        <f>J12+J16</f>
        <v>229890</v>
      </c>
      <c r="K18" s="1">
        <f>K16+K12</f>
        <v>-190077.26</v>
      </c>
    </row>
    <row r="19" spans="1:14" x14ac:dyDescent="0.35">
      <c r="A19" s="1"/>
      <c r="C19" s="2"/>
      <c r="E19" s="2"/>
      <c r="G19" s="41"/>
      <c r="H19" s="41"/>
      <c r="I19" s="2"/>
      <c r="J19" s="2">
        <f>D19+'Mar Income'!J19</f>
        <v>0</v>
      </c>
      <c r="K19" s="2"/>
    </row>
    <row r="20" spans="1:14" x14ac:dyDescent="0.35">
      <c r="A20" s="1"/>
      <c r="C20" s="2"/>
      <c r="E20" s="2"/>
      <c r="F20" s="38" t="s">
        <v>23</v>
      </c>
      <c r="G20" s="41"/>
      <c r="H20" s="41"/>
      <c r="I20" s="2"/>
      <c r="J20" s="2">
        <f>D20+'Mar Income'!J20</f>
        <v>0</v>
      </c>
      <c r="K20" s="2"/>
    </row>
    <row r="21" spans="1:14" x14ac:dyDescent="0.35">
      <c r="A21" s="1">
        <f>40426.6+2506.46+586.19+1358.34+158.61</f>
        <v>45036.2</v>
      </c>
      <c r="B21" s="10">
        <f>3605+29090+12744+2210+4397</f>
        <v>52046</v>
      </c>
      <c r="C21" s="2">
        <f t="shared" ref="C21:C32" si="0">+A21-B21</f>
        <v>-7009.8000000000029</v>
      </c>
      <c r="D21" s="1">
        <f>54333.72+3368.68+787.82+3230.27+249.97</f>
        <v>61970.46</v>
      </c>
      <c r="E21" s="2">
        <f t="shared" ref="E21:E32" si="1">+A21-D21</f>
        <v>-16934.260000000002</v>
      </c>
      <c r="F21" t="s">
        <v>0</v>
      </c>
      <c r="G21" s="41">
        <f>A21+'Mar Income'!G21</f>
        <v>169375.61</v>
      </c>
      <c r="H21" s="41">
        <f>B21+'Mar Income'!H21</f>
        <v>208183</v>
      </c>
      <c r="I21" s="2">
        <f t="shared" ref="I21:I32" si="2">+G21-H21</f>
        <v>-38807.390000000014</v>
      </c>
      <c r="J21" s="2">
        <f>D21+'Mar Income'!J21</f>
        <v>191932.44</v>
      </c>
      <c r="K21" s="2">
        <f t="shared" ref="K21:K32" si="3">+G21-J21</f>
        <v>-22556.830000000016</v>
      </c>
    </row>
    <row r="22" spans="1:14" x14ac:dyDescent="0.35">
      <c r="A22" s="1">
        <f>2013.28+235.74</f>
        <v>2249.02</v>
      </c>
      <c r="B22" s="10">
        <f>600+600+600+325</f>
        <v>2125</v>
      </c>
      <c r="C22" s="2">
        <f t="shared" si="0"/>
        <v>124.01999999999998</v>
      </c>
      <c r="D22" s="1">
        <f>2225.6+271.26+4520.83</f>
        <v>7017.69</v>
      </c>
      <c r="E22" s="2">
        <f t="shared" si="1"/>
        <v>-4768.67</v>
      </c>
      <c r="F22" t="s">
        <v>1</v>
      </c>
      <c r="G22" s="41">
        <f>A22+'Mar Income'!G22</f>
        <v>10801.33</v>
      </c>
      <c r="H22" s="41">
        <f>B22+'Mar Income'!H22</f>
        <v>8500</v>
      </c>
      <c r="I22" s="2">
        <f t="shared" si="2"/>
        <v>2301.33</v>
      </c>
      <c r="J22" s="2">
        <f>D22+'Mar Income'!J22</f>
        <v>13605.13</v>
      </c>
      <c r="K22" s="2">
        <f t="shared" si="3"/>
        <v>-2803.7999999999993</v>
      </c>
    </row>
    <row r="23" spans="1:14" x14ac:dyDescent="0.35">
      <c r="A23" s="1">
        <f>96.79+7546.77-1110.93</f>
        <v>6532.63</v>
      </c>
      <c r="B23" s="10">
        <f>3762+4000+3500+400+1100+1100+50+1000+1500+500+50</f>
        <v>16962</v>
      </c>
      <c r="C23" s="2">
        <f t="shared" si="0"/>
        <v>-10429.369999999999</v>
      </c>
      <c r="D23" s="1">
        <f>13109.48-1564.01+10835.12-413.55-335</f>
        <v>21632.04</v>
      </c>
      <c r="E23" s="2">
        <f t="shared" si="1"/>
        <v>-15099.41</v>
      </c>
      <c r="F23" t="s">
        <v>54</v>
      </c>
      <c r="G23" s="41">
        <f>A23+'Mar Income'!G23+176.64</f>
        <v>37084.579999999994</v>
      </c>
      <c r="H23" s="41">
        <f>B23+'Mar Income'!H23</f>
        <v>59852</v>
      </c>
      <c r="I23" s="2">
        <f t="shared" si="2"/>
        <v>-22767.420000000006</v>
      </c>
      <c r="J23" s="2">
        <f>D23+'Mar Income'!J23</f>
        <v>52374.22</v>
      </c>
      <c r="K23" s="2">
        <f t="shared" si="3"/>
        <v>-15289.640000000007</v>
      </c>
      <c r="N23" s="2"/>
    </row>
    <row r="24" spans="1:14" x14ac:dyDescent="0.35">
      <c r="A24" s="1">
        <f>39.18</f>
        <v>39.18</v>
      </c>
      <c r="B24" s="10">
        <f>100+1650</f>
        <v>1750</v>
      </c>
      <c r="C24" s="2">
        <f t="shared" si="0"/>
        <v>-1710.82</v>
      </c>
      <c r="D24" s="1">
        <f>1557.12-89.44</f>
        <v>1467.6799999999998</v>
      </c>
      <c r="E24" s="2">
        <f t="shared" si="1"/>
        <v>-1428.4999999999998</v>
      </c>
      <c r="F24" t="s">
        <v>55</v>
      </c>
      <c r="G24" s="41">
        <f>A24+'Mar Income'!G24</f>
        <v>731.20999999999992</v>
      </c>
      <c r="H24" s="41">
        <f>B24+'Mar Income'!H24</f>
        <v>7000</v>
      </c>
      <c r="I24" s="2">
        <f t="shared" si="2"/>
        <v>-6268.79</v>
      </c>
      <c r="J24" s="2">
        <f>D24+'Mar Income'!J24</f>
        <v>5509.01</v>
      </c>
      <c r="K24" s="2">
        <f t="shared" si="3"/>
        <v>-4777.8</v>
      </c>
    </row>
    <row r="25" spans="1:14" x14ac:dyDescent="0.35">
      <c r="A25" s="1">
        <v>0</v>
      </c>
      <c r="B25" s="10">
        <v>80</v>
      </c>
      <c r="C25" s="2">
        <f t="shared" si="0"/>
        <v>-80</v>
      </c>
      <c r="D25" s="1">
        <v>0</v>
      </c>
      <c r="E25" s="2">
        <f t="shared" si="1"/>
        <v>0</v>
      </c>
      <c r="F25" t="s">
        <v>56</v>
      </c>
      <c r="G25" s="41">
        <f>A25+'Mar Income'!G25</f>
        <v>0</v>
      </c>
      <c r="H25" s="41">
        <f>B25+'Mar Income'!H25</f>
        <v>320</v>
      </c>
      <c r="I25" s="2">
        <f t="shared" si="2"/>
        <v>-320</v>
      </c>
      <c r="J25" s="2">
        <f>D25+'Mar Income'!J25</f>
        <v>0</v>
      </c>
      <c r="K25" s="2">
        <f t="shared" si="3"/>
        <v>0</v>
      </c>
    </row>
    <row r="26" spans="1:14" x14ac:dyDescent="0.35">
      <c r="A26" s="1">
        <f>5832.34+942.9-1147.41</f>
        <v>5627.83</v>
      </c>
      <c r="B26" s="10">
        <f>6750+8000+2000-2000</f>
        <v>14750</v>
      </c>
      <c r="C26" s="2">
        <f t="shared" si="0"/>
        <v>-9122.17</v>
      </c>
      <c r="D26" s="1">
        <f>303+13653.71+6135.65-5020.06</f>
        <v>15072.3</v>
      </c>
      <c r="E26" s="2">
        <f t="shared" si="1"/>
        <v>-9444.4699999999993</v>
      </c>
      <c r="F26" t="s">
        <v>57</v>
      </c>
      <c r="G26" s="41">
        <f>A26+'Mar Income'!G26</f>
        <v>34911.449999999997</v>
      </c>
      <c r="H26" s="41">
        <f>B26+'Mar Income'!H26</f>
        <v>64300</v>
      </c>
      <c r="I26" s="2">
        <f t="shared" si="2"/>
        <v>-29388.550000000003</v>
      </c>
      <c r="J26" s="2">
        <f>D26+'Mar Income'!J26</f>
        <v>52472.320000000007</v>
      </c>
      <c r="K26" s="2">
        <f t="shared" si="3"/>
        <v>-17560.87000000001</v>
      </c>
      <c r="N26" s="2"/>
    </row>
    <row r="27" spans="1:14" x14ac:dyDescent="0.35">
      <c r="A27" s="1">
        <f>6641.66-4017.13</f>
        <v>2624.5299999999997</v>
      </c>
      <c r="B27" s="10">
        <f>3000+342020</f>
        <v>345020</v>
      </c>
      <c r="C27" s="2">
        <f t="shared" si="0"/>
        <v>-342395.47</v>
      </c>
      <c r="D27" s="1">
        <f>7648.28-4270.88</f>
        <v>3377.3999999999996</v>
      </c>
      <c r="E27" s="2">
        <f t="shared" si="1"/>
        <v>-752.86999999999989</v>
      </c>
      <c r="F27" t="s">
        <v>58</v>
      </c>
      <c r="G27" s="41">
        <f>A27+'Mar Income'!G27</f>
        <v>12817.689999999999</v>
      </c>
      <c r="H27" s="41">
        <f>B27+'Mar Income'!H27</f>
        <v>352020</v>
      </c>
      <c r="I27" s="2">
        <f t="shared" si="2"/>
        <v>-339202.31</v>
      </c>
      <c r="J27" s="2">
        <f>D27+'Mar Income'!J27</f>
        <v>18836.919999999998</v>
      </c>
      <c r="K27" s="2">
        <f t="shared" si="3"/>
        <v>-6019.23</v>
      </c>
    </row>
    <row r="28" spans="1:14" x14ac:dyDescent="0.35">
      <c r="A28" s="1">
        <v>0</v>
      </c>
      <c r="B28" s="10">
        <v>0</v>
      </c>
      <c r="C28" s="2">
        <f t="shared" si="0"/>
        <v>0</v>
      </c>
      <c r="D28" s="1">
        <v>0</v>
      </c>
      <c r="E28" s="2">
        <f t="shared" si="1"/>
        <v>0</v>
      </c>
      <c r="F28" t="s">
        <v>59</v>
      </c>
      <c r="G28" s="41">
        <f>A28+'Mar Income'!G28</f>
        <v>0</v>
      </c>
      <c r="H28" s="41">
        <f>B28+'Mar Income'!H28</f>
        <v>0</v>
      </c>
      <c r="I28" s="2">
        <f t="shared" si="2"/>
        <v>0</v>
      </c>
      <c r="J28" s="2">
        <f>D28+'Mar Income'!J28</f>
        <v>108.32</v>
      </c>
      <c r="K28" s="2">
        <f t="shared" si="3"/>
        <v>-108.32</v>
      </c>
    </row>
    <row r="29" spans="1:14" x14ac:dyDescent="0.35">
      <c r="A29" s="1">
        <f>4017.13</f>
        <v>4017.13</v>
      </c>
      <c r="B29" s="10">
        <f>3540</f>
        <v>3540</v>
      </c>
      <c r="C29" s="2">
        <f t="shared" si="0"/>
        <v>477.13000000000011</v>
      </c>
      <c r="D29" s="1">
        <f>4270.88</f>
        <v>4270.88</v>
      </c>
      <c r="E29" s="2">
        <f t="shared" si="1"/>
        <v>-253.75</v>
      </c>
      <c r="F29" t="s">
        <v>2</v>
      </c>
      <c r="G29" s="41">
        <f>A29+'Mar Income'!G29</f>
        <v>25838.7</v>
      </c>
      <c r="H29" s="41">
        <f>B29+'Mar Income'!H29</f>
        <v>14180</v>
      </c>
      <c r="I29" s="2">
        <f t="shared" si="2"/>
        <v>11658.7</v>
      </c>
      <c r="J29" s="2">
        <f>D29+'Mar Income'!J29</f>
        <v>10890.75</v>
      </c>
      <c r="K29" s="2">
        <f t="shared" si="3"/>
        <v>14947.95</v>
      </c>
    </row>
    <row r="30" spans="1:14" x14ac:dyDescent="0.35">
      <c r="A30" s="1">
        <f>2197.21+1110.93+5184.46</f>
        <v>8492.6</v>
      </c>
      <c r="B30" s="10">
        <f>1750+1750+7834</f>
        <v>11334</v>
      </c>
      <c r="C30" s="2">
        <f t="shared" si="0"/>
        <v>-2841.3999999999996</v>
      </c>
      <c r="D30" s="1">
        <f>1564.01+413.55+4414.78</f>
        <v>6392.34</v>
      </c>
      <c r="E30" s="2">
        <f t="shared" si="1"/>
        <v>2100.2600000000002</v>
      </c>
      <c r="F30" t="s">
        <v>3</v>
      </c>
      <c r="G30" s="41">
        <f>A30+'Mar Income'!G30</f>
        <v>36783.950000000004</v>
      </c>
      <c r="H30" s="41">
        <f>B30+'Mar Income'!H30</f>
        <v>45328</v>
      </c>
      <c r="I30" s="2">
        <f t="shared" si="2"/>
        <v>-8544.0499999999956</v>
      </c>
      <c r="J30" s="2">
        <f>D30+'Mar Income'!J30</f>
        <v>23691.66</v>
      </c>
      <c r="K30" s="2">
        <f t="shared" si="3"/>
        <v>13092.290000000005</v>
      </c>
    </row>
    <row r="31" spans="1:14" x14ac:dyDescent="0.35">
      <c r="A31" s="1">
        <f>2424.36+206.48+39.98</f>
        <v>2670.82</v>
      </c>
      <c r="B31" s="10">
        <v>2000</v>
      </c>
      <c r="C31" s="2">
        <f t="shared" si="0"/>
        <v>670.82000000000016</v>
      </c>
      <c r="D31" s="1">
        <f>2936.66+265.4+110.24</f>
        <v>3312.2999999999997</v>
      </c>
      <c r="E31" s="2">
        <f t="shared" si="1"/>
        <v>-641.47999999999956</v>
      </c>
      <c r="F31" t="s">
        <v>4</v>
      </c>
      <c r="G31" s="41">
        <f>A31+'Mar Income'!G31</f>
        <v>12039.9</v>
      </c>
      <c r="H31" s="41">
        <f>B31+'Mar Income'!H31</f>
        <v>11000</v>
      </c>
      <c r="I31" s="2">
        <f t="shared" si="2"/>
        <v>1039.8999999999996</v>
      </c>
      <c r="J31" s="2">
        <f>D31+'Mar Income'!J31</f>
        <v>8894.7599999999984</v>
      </c>
      <c r="K31" s="2">
        <f t="shared" si="3"/>
        <v>3145.1400000000012</v>
      </c>
      <c r="N31" s="2"/>
    </row>
    <row r="32" spans="1:14" x14ac:dyDescent="0.35">
      <c r="A32" s="3">
        <v>1147.4100000000001</v>
      </c>
      <c r="B32" s="11">
        <v>6250</v>
      </c>
      <c r="C32" s="4">
        <f t="shared" si="0"/>
        <v>-5102.59</v>
      </c>
      <c r="D32" s="3">
        <v>5355.06</v>
      </c>
      <c r="E32" s="4">
        <f t="shared" si="1"/>
        <v>-4207.6500000000005</v>
      </c>
      <c r="F32" t="s">
        <v>60</v>
      </c>
      <c r="G32" s="42">
        <f>A32+'Mar Income'!G32</f>
        <v>15229.82</v>
      </c>
      <c r="H32" s="42">
        <f>B32+'Mar Income'!H32</f>
        <v>18750</v>
      </c>
      <c r="I32" s="4">
        <f t="shared" si="2"/>
        <v>-3520.1800000000003</v>
      </c>
      <c r="J32" s="4">
        <f>D32+'Mar Income'!J32</f>
        <v>20906.13</v>
      </c>
      <c r="K32" s="4">
        <f t="shared" si="3"/>
        <v>-5676.3100000000013</v>
      </c>
    </row>
    <row r="33" spans="1:11" x14ac:dyDescent="0.35">
      <c r="A33" s="1">
        <f>SUM(A21:A32)</f>
        <v>78437.350000000006</v>
      </c>
      <c r="B33" s="1">
        <f>SUM(B21:B32)</f>
        <v>455857</v>
      </c>
      <c r="C33" s="1">
        <f>SUM(C21:C32)</f>
        <v>-377419.65</v>
      </c>
      <c r="D33" s="1">
        <f>SUM(D21:D32)</f>
        <v>129868.15</v>
      </c>
      <c r="E33" s="1">
        <f>SUM(E21:E32)</f>
        <v>-51430.799999999996</v>
      </c>
      <c r="F33" t="s">
        <v>21</v>
      </c>
      <c r="G33" s="41">
        <f>SUM(G21:G32)</f>
        <v>355614.24</v>
      </c>
      <c r="H33" s="41">
        <f>SUM(H21:H32)</f>
        <v>789433</v>
      </c>
      <c r="I33" s="1">
        <f>SUM(I21:I32)</f>
        <v>-433818.75999999995</v>
      </c>
      <c r="J33" s="2">
        <f>SUM(J21:J32)</f>
        <v>399221.66</v>
      </c>
      <c r="K33" s="1">
        <f>SUM(K21:K32)</f>
        <v>-43607.420000000027</v>
      </c>
    </row>
    <row r="34" spans="1:11" x14ac:dyDescent="0.35">
      <c r="A34" s="1"/>
      <c r="C34" s="2"/>
      <c r="E34" s="2"/>
      <c r="G34" s="41"/>
      <c r="H34" s="41"/>
      <c r="I34" s="2"/>
      <c r="J34" s="2">
        <f>D34+'Mar Income'!J34</f>
        <v>0</v>
      </c>
      <c r="K34" s="2"/>
    </row>
    <row r="35" spans="1:11" x14ac:dyDescent="0.35">
      <c r="A35" s="1">
        <f>A18-A33</f>
        <v>-70026.390000000014</v>
      </c>
      <c r="B35" s="1">
        <f>B18-B33</f>
        <v>-406056</v>
      </c>
      <c r="C35" s="1">
        <f>C18-C33</f>
        <v>336029.61000000004</v>
      </c>
      <c r="D35" s="1">
        <f>D18-D33</f>
        <v>-29027.61</v>
      </c>
      <c r="E35" s="1">
        <f>E18-E33</f>
        <v>-40998.780000000006</v>
      </c>
      <c r="F35" t="s">
        <v>18</v>
      </c>
      <c r="G35" s="41">
        <f>G18-G33</f>
        <v>-315801.5</v>
      </c>
      <c r="H35" s="41">
        <f>H18-H33</f>
        <v>-650301</v>
      </c>
      <c r="I35" s="9">
        <f>I18-I33</f>
        <v>334499.49999999994</v>
      </c>
      <c r="J35" s="2">
        <f>J18-J33</f>
        <v>-169331.65999999997</v>
      </c>
      <c r="K35" s="1">
        <f>K18-K33</f>
        <v>-146469.83999999997</v>
      </c>
    </row>
    <row r="36" spans="1:11" x14ac:dyDescent="0.35">
      <c r="A36" s="1"/>
      <c r="B36" s="10"/>
      <c r="C36" s="2"/>
      <c r="E36" s="2"/>
      <c r="G36" s="41"/>
      <c r="H36" s="41"/>
      <c r="I36" s="2"/>
      <c r="J36" s="2">
        <f>D36+'Mar Income'!J36</f>
        <v>0</v>
      </c>
      <c r="K36" s="2"/>
    </row>
    <row r="37" spans="1:11" x14ac:dyDescent="0.35">
      <c r="A37" s="1">
        <f>14+94747.5</f>
        <v>94761.5</v>
      </c>
      <c r="B37" s="10">
        <f>4000+60000+342020</f>
        <v>406020</v>
      </c>
      <c r="C37" s="2">
        <f>+A37-B37</f>
        <v>-311258.5</v>
      </c>
      <c r="D37" s="1">
        <f>3510.18+2020.23+55309.96+4422.68</f>
        <v>65263.049999999996</v>
      </c>
      <c r="E37" s="2">
        <f>+A37-D37</f>
        <v>29498.450000000004</v>
      </c>
      <c r="F37" t="s">
        <v>61</v>
      </c>
      <c r="G37" s="41">
        <f>A37+'Mar Income'!G37</f>
        <v>678456.6</v>
      </c>
      <c r="H37" s="41">
        <f>B37+'Mar Income'!H37</f>
        <v>581678</v>
      </c>
      <c r="I37" s="2">
        <f>+G37-H37</f>
        <v>96778.599999999977</v>
      </c>
      <c r="J37" s="2">
        <f>D37+'Mar Income'!J37</f>
        <v>157831.03999999998</v>
      </c>
      <c r="K37" s="2">
        <f>+G37-J37</f>
        <v>520625.56</v>
      </c>
    </row>
    <row r="38" spans="1:11" x14ac:dyDescent="0.35">
      <c r="A38" s="3">
        <f>10.42</f>
        <v>10.42</v>
      </c>
      <c r="B38" s="11">
        <f>2100</f>
        <v>2100</v>
      </c>
      <c r="C38" s="4">
        <f>+A38-B38</f>
        <v>-2089.58</v>
      </c>
      <c r="D38" s="3">
        <v>908.24</v>
      </c>
      <c r="E38" s="4">
        <f>+A38-D38</f>
        <v>-897.82</v>
      </c>
      <c r="F38" t="s">
        <v>19</v>
      </c>
      <c r="G38" s="42">
        <f>A38+'Mar Income'!G38</f>
        <v>437.64000000000004</v>
      </c>
      <c r="H38" s="42">
        <f>B38+'Mar Income'!H38</f>
        <v>8400</v>
      </c>
      <c r="I38" s="4">
        <f>+G38-H38</f>
        <v>-7962.36</v>
      </c>
      <c r="J38" s="4">
        <f>D38+'Mar Income'!J38</f>
        <v>2739.92</v>
      </c>
      <c r="K38" s="4">
        <f>+G38-J38</f>
        <v>-2302.2800000000002</v>
      </c>
    </row>
    <row r="39" spans="1:11" x14ac:dyDescent="0.35">
      <c r="A39" s="1">
        <f>+A37+A38</f>
        <v>94771.92</v>
      </c>
      <c r="B39" s="1">
        <f>+B37+B38</f>
        <v>408120</v>
      </c>
      <c r="C39" s="1">
        <f>+C37+C38</f>
        <v>-313348.08</v>
      </c>
      <c r="D39" s="1">
        <f>+D37+D38</f>
        <v>66171.289999999994</v>
      </c>
      <c r="E39" s="1">
        <f>+E37+E38</f>
        <v>28600.630000000005</v>
      </c>
      <c r="F39" t="s">
        <v>20</v>
      </c>
      <c r="G39" s="41">
        <f>SUM(G37:G38)</f>
        <v>678894.24</v>
      </c>
      <c r="H39" s="41">
        <f>SUM(H37:H38)</f>
        <v>590078</v>
      </c>
      <c r="I39" s="1">
        <f>+I37+I38</f>
        <v>88816.239999999976</v>
      </c>
      <c r="J39" s="2">
        <f>SUM(J37:J38)</f>
        <v>160570.96</v>
      </c>
      <c r="K39" s="1">
        <f>+K37+K38</f>
        <v>518323.27999999997</v>
      </c>
    </row>
    <row r="40" spans="1:11" x14ac:dyDescent="0.35">
      <c r="A40" s="1"/>
      <c r="C40" s="2"/>
      <c r="E40" s="2"/>
      <c r="G40" s="41"/>
      <c r="H40" s="41"/>
      <c r="I40" s="2"/>
      <c r="J40" s="2">
        <f>D40+'Mar Income'!J40</f>
        <v>0</v>
      </c>
      <c r="K40" s="2"/>
    </row>
    <row r="41" spans="1:11" x14ac:dyDescent="0.35">
      <c r="A41" s="1"/>
      <c r="C41" s="2"/>
      <c r="E41" s="2"/>
      <c r="G41" s="41"/>
      <c r="H41" s="41"/>
      <c r="I41" s="2"/>
      <c r="J41" s="2">
        <f>D41+'Mar Income'!J41</f>
        <v>0</v>
      </c>
      <c r="K41" s="2"/>
    </row>
    <row r="42" spans="1:11" x14ac:dyDescent="0.35">
      <c r="A42" s="3">
        <f>A35+A39</f>
        <v>24745.529999999984</v>
      </c>
      <c r="B42" s="3">
        <f t="shared" ref="B42:E42" si="4">B35+B39</f>
        <v>2064</v>
      </c>
      <c r="C42" s="3">
        <f t="shared" si="4"/>
        <v>22681.530000000028</v>
      </c>
      <c r="D42" s="3">
        <f>D35+D39</f>
        <v>37143.679999999993</v>
      </c>
      <c r="E42" s="3">
        <f t="shared" si="4"/>
        <v>-12398.150000000001</v>
      </c>
      <c r="F42" s="14" t="s">
        <v>50</v>
      </c>
      <c r="G42" s="42">
        <f>G35+G39</f>
        <v>363092.74</v>
      </c>
      <c r="H42" s="42">
        <f>H35+H39</f>
        <v>-60223</v>
      </c>
      <c r="I42" s="3">
        <f>+I35+I39</f>
        <v>423315.73999999993</v>
      </c>
      <c r="J42" s="4">
        <f>J35+J39</f>
        <v>-8760.6999999999825</v>
      </c>
      <c r="K42" s="3">
        <f t="shared" ref="K42" si="5">K35+K39</f>
        <v>371853.44</v>
      </c>
    </row>
    <row r="43" spans="1:11" x14ac:dyDescent="0.35">
      <c r="D43"/>
      <c r="G43" s="41"/>
      <c r="H43" s="41"/>
      <c r="J43" s="2">
        <f>D43+'Mar Income'!J43</f>
        <v>0</v>
      </c>
    </row>
    <row r="44" spans="1:11" ht="15" thickBot="1" x14ac:dyDescent="0.4">
      <c r="A44" s="9">
        <v>16772.580000000002</v>
      </c>
      <c r="B44" s="9">
        <v>14567</v>
      </c>
      <c r="C44" s="9">
        <f>A44-B44</f>
        <v>2205.5800000000017</v>
      </c>
      <c r="D44" s="9">
        <v>18905.419999999998</v>
      </c>
      <c r="E44" s="13">
        <f t="shared" ref="E44:E45" si="6">+A44-D44</f>
        <v>-2132.8399999999965</v>
      </c>
      <c r="F44" t="s">
        <v>22</v>
      </c>
      <c r="G44" s="49">
        <f>A44+'Mar Income'!G44</f>
        <v>67090.320000000007</v>
      </c>
      <c r="H44" s="49">
        <f>B44+'Mar Income'!H44</f>
        <v>43701</v>
      </c>
      <c r="I44" s="13">
        <f t="shared" ref="I44" si="7">+G44-H44</f>
        <v>23389.320000000007</v>
      </c>
      <c r="J44" s="50">
        <f>D44+'Mar Income'!J44</f>
        <v>56716.259999999995</v>
      </c>
      <c r="K44" s="13">
        <f t="shared" ref="K44" si="8">+G44-J44</f>
        <v>10374.060000000012</v>
      </c>
    </row>
    <row r="45" spans="1:11" ht="15" thickBot="1" x14ac:dyDescent="0.4">
      <c r="A45" s="16">
        <f>A42-A44</f>
        <v>7972.9499999999825</v>
      </c>
      <c r="B45" s="16">
        <f>B42-B44</f>
        <v>-12503</v>
      </c>
      <c r="C45" s="17">
        <f t="shared" ref="C45" si="9">+A45-B45</f>
        <v>20475.949999999983</v>
      </c>
      <c r="D45" s="16">
        <f>D42-D44</f>
        <v>18238.259999999995</v>
      </c>
      <c r="E45" s="17">
        <f t="shared" si="6"/>
        <v>-10265.310000000012</v>
      </c>
      <c r="F45" s="14" t="s">
        <v>5</v>
      </c>
      <c r="G45" s="45">
        <f>G42-G44</f>
        <v>296002.42</v>
      </c>
      <c r="H45" s="45">
        <f>H42-H44</f>
        <v>-103924</v>
      </c>
      <c r="I45" s="16">
        <f t="shared" ref="I45:K45" si="10">I42-I44</f>
        <v>399926.41999999993</v>
      </c>
      <c r="J45" s="17">
        <f>J42-J44</f>
        <v>-65476.959999999977</v>
      </c>
      <c r="K45" s="16">
        <f t="shared" si="10"/>
        <v>361479.38</v>
      </c>
    </row>
    <row r="46" spans="1:11" ht="15" thickTop="1" x14ac:dyDescent="0.35">
      <c r="A46" s="2"/>
      <c r="G46" s="46"/>
    </row>
  </sheetData>
  <pageMargins left="0.7" right="0.7" top="0.75" bottom="0.75" header="0.3" footer="0.3"/>
  <pageSetup scale="7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9"/>
  <sheetViews>
    <sheetView workbookViewId="0">
      <selection activeCell="O10" sqref="O10"/>
    </sheetView>
  </sheetViews>
  <sheetFormatPr defaultRowHeight="14.5" x14ac:dyDescent="0.35"/>
  <cols>
    <col min="1" max="1" width="11.54296875" customWidth="1"/>
    <col min="6" max="6" width="25" customWidth="1"/>
  </cols>
  <sheetData>
    <row r="1" spans="1:11" x14ac:dyDescent="0.35">
      <c r="A1" t="s">
        <v>47</v>
      </c>
    </row>
    <row r="2" spans="1:11" x14ac:dyDescent="0.35">
      <c r="A2" t="s">
        <v>43</v>
      </c>
    </row>
    <row r="3" spans="1:11" x14ac:dyDescent="0.35">
      <c r="A3" s="7">
        <v>43951</v>
      </c>
    </row>
    <row r="5" spans="1:11" x14ac:dyDescent="0.35">
      <c r="A5" t="s">
        <v>10</v>
      </c>
      <c r="B5" t="s">
        <v>10</v>
      </c>
      <c r="D5" s="1" t="s">
        <v>11</v>
      </c>
      <c r="G5" t="s">
        <v>10</v>
      </c>
      <c r="H5" t="s">
        <v>10</v>
      </c>
      <c r="J5" s="1" t="s">
        <v>11</v>
      </c>
    </row>
    <row r="6" spans="1:11" x14ac:dyDescent="0.35">
      <c r="A6" t="s">
        <v>6</v>
      </c>
      <c r="B6" t="s">
        <v>6</v>
      </c>
      <c r="C6" t="s">
        <v>9</v>
      </c>
      <c r="D6" s="1" t="s">
        <v>6</v>
      </c>
      <c r="E6" t="s">
        <v>9</v>
      </c>
      <c r="G6" t="s">
        <v>12</v>
      </c>
      <c r="H6" t="s">
        <v>12</v>
      </c>
      <c r="I6" t="s">
        <v>9</v>
      </c>
      <c r="J6" s="1" t="s">
        <v>12</v>
      </c>
      <c r="K6" t="s">
        <v>9</v>
      </c>
    </row>
    <row r="7" spans="1:11" x14ac:dyDescent="0.35">
      <c r="A7" t="s">
        <v>7</v>
      </c>
      <c r="B7" t="s">
        <v>8</v>
      </c>
      <c r="D7" s="1" t="s">
        <v>7</v>
      </c>
      <c r="G7" t="s">
        <v>7</v>
      </c>
      <c r="H7" t="s">
        <v>8</v>
      </c>
      <c r="J7" s="1" t="s">
        <v>7</v>
      </c>
    </row>
    <row r="8" spans="1:11" ht="15.5" x14ac:dyDescent="0.35">
      <c r="D8" s="1"/>
      <c r="F8" s="48" t="s">
        <v>44</v>
      </c>
      <c r="J8" s="1"/>
    </row>
    <row r="9" spans="1:11" x14ac:dyDescent="0.35">
      <c r="A9" s="36">
        <v>0</v>
      </c>
      <c r="B9" s="37">
        <v>1</v>
      </c>
      <c r="C9" s="37">
        <f t="shared" ref="C9:C29" si="0">+A9-B9</f>
        <v>-1</v>
      </c>
      <c r="D9" s="5">
        <v>3</v>
      </c>
      <c r="E9" s="37">
        <f t="shared" ref="E9:E29" si="1">+A9-D9</f>
        <v>-3</v>
      </c>
      <c r="F9" t="s">
        <v>24</v>
      </c>
      <c r="G9" s="36">
        <f>A9+'Mar Statistic'!G9</f>
        <v>0</v>
      </c>
      <c r="H9" s="37">
        <f>B9+'Mar Statistic'!H9</f>
        <v>1</v>
      </c>
      <c r="I9" s="37">
        <f>+G9-H9</f>
        <v>-1</v>
      </c>
      <c r="J9" s="5">
        <f>'[3]Mar Statistic'!J9+'[3]Apr Statistic'!D9</f>
        <v>5</v>
      </c>
      <c r="K9" s="37">
        <f>+G9-J9</f>
        <v>-5</v>
      </c>
    </row>
    <row r="10" spans="1:11" x14ac:dyDescent="0.35">
      <c r="A10" s="36">
        <v>0</v>
      </c>
      <c r="B10" s="37">
        <v>45</v>
      </c>
      <c r="C10" s="37">
        <f t="shared" si="0"/>
        <v>-45</v>
      </c>
      <c r="D10" s="5">
        <v>56</v>
      </c>
      <c r="E10" s="37">
        <f t="shared" si="1"/>
        <v>-56</v>
      </c>
      <c r="F10" t="s">
        <v>25</v>
      </c>
      <c r="G10" s="36">
        <f>A10+'Mar Statistic'!G10</f>
        <v>0</v>
      </c>
      <c r="H10" s="37">
        <f>B10+'Mar Statistic'!H10</f>
        <v>45</v>
      </c>
      <c r="I10" s="37">
        <f t="shared" ref="I10:I27" si="2">+G10-H10</f>
        <v>-45</v>
      </c>
      <c r="J10" s="5">
        <f>'[3]Mar Statistic'!J10+'[3]Apr Statistic'!D10</f>
        <v>108</v>
      </c>
      <c r="K10" s="37">
        <f t="shared" ref="K10:K27" si="3">+G10-J10</f>
        <v>-108</v>
      </c>
    </row>
    <row r="11" spans="1:11" x14ac:dyDescent="0.35">
      <c r="A11" s="36">
        <v>0</v>
      </c>
      <c r="B11" s="37">
        <v>1</v>
      </c>
      <c r="C11" s="37">
        <f t="shared" si="0"/>
        <v>-1</v>
      </c>
      <c r="D11" s="5">
        <v>1</v>
      </c>
      <c r="E11" s="37">
        <f t="shared" si="1"/>
        <v>-1</v>
      </c>
      <c r="F11" t="s">
        <v>26</v>
      </c>
      <c r="G11" s="36">
        <f>A11+'Mar Statistic'!G11</f>
        <v>0</v>
      </c>
      <c r="H11" s="37">
        <f>B11+'Mar Statistic'!H11</f>
        <v>1</v>
      </c>
      <c r="I11" s="37">
        <f t="shared" si="2"/>
        <v>-1</v>
      </c>
      <c r="J11" s="5">
        <f>'[3]Mar Statistic'!J11+'[3]Apr Statistic'!D11</f>
        <v>2</v>
      </c>
      <c r="K11" s="37">
        <f t="shared" si="3"/>
        <v>-2</v>
      </c>
    </row>
    <row r="12" spans="1:11" x14ac:dyDescent="0.35">
      <c r="A12" s="36">
        <v>0</v>
      </c>
      <c r="B12" s="37">
        <v>5</v>
      </c>
      <c r="C12" s="37">
        <f t="shared" si="0"/>
        <v>-5</v>
      </c>
      <c r="D12" s="5">
        <v>7</v>
      </c>
      <c r="E12" s="37">
        <f t="shared" si="1"/>
        <v>-7</v>
      </c>
      <c r="F12" t="s">
        <v>27</v>
      </c>
      <c r="G12" s="36">
        <f>A12+'Mar Statistic'!G12</f>
        <v>0</v>
      </c>
      <c r="H12" s="37">
        <f>B12+'Mar Statistic'!H12</f>
        <v>5</v>
      </c>
      <c r="I12" s="37">
        <f t="shared" si="2"/>
        <v>-5</v>
      </c>
      <c r="J12" s="5">
        <f>'[3]Mar Statistic'!J12+'[3]Apr Statistic'!D12</f>
        <v>11</v>
      </c>
      <c r="K12" s="37">
        <f t="shared" si="3"/>
        <v>-11</v>
      </c>
    </row>
    <row r="13" spans="1:11" x14ac:dyDescent="0.35">
      <c r="A13" s="36">
        <v>0</v>
      </c>
      <c r="B13" s="37">
        <v>5</v>
      </c>
      <c r="C13" s="37">
        <f t="shared" si="0"/>
        <v>-5</v>
      </c>
      <c r="D13" s="5">
        <v>6</v>
      </c>
      <c r="E13" s="37">
        <f t="shared" si="1"/>
        <v>-6</v>
      </c>
      <c r="F13" t="s">
        <v>28</v>
      </c>
      <c r="G13" s="36">
        <f>A13+'Mar Statistic'!G13</f>
        <v>3</v>
      </c>
      <c r="H13" s="37">
        <f>B13+'Mar Statistic'!H13</f>
        <v>16</v>
      </c>
      <c r="I13" s="37">
        <f t="shared" si="2"/>
        <v>-13</v>
      </c>
      <c r="J13" s="5">
        <f>'[3]Mar Statistic'!J13+'[3]Apr Statistic'!D13</f>
        <v>11</v>
      </c>
      <c r="K13" s="37">
        <f t="shared" si="3"/>
        <v>-8</v>
      </c>
    </row>
    <row r="14" spans="1:11" x14ac:dyDescent="0.35">
      <c r="A14" s="36">
        <v>0</v>
      </c>
      <c r="B14" s="37">
        <v>200</v>
      </c>
      <c r="C14" s="37">
        <f t="shared" si="0"/>
        <v>-200</v>
      </c>
      <c r="D14" s="5">
        <v>310</v>
      </c>
      <c r="E14" s="37">
        <f t="shared" si="1"/>
        <v>-310</v>
      </c>
      <c r="F14" t="s">
        <v>29</v>
      </c>
      <c r="G14" s="36">
        <f>A14+'Mar Statistic'!G14</f>
        <v>44</v>
      </c>
      <c r="H14" s="37">
        <f>B14+'Mar Statistic'!H14</f>
        <v>630</v>
      </c>
      <c r="I14" s="37">
        <f t="shared" si="2"/>
        <v>-586</v>
      </c>
      <c r="J14" s="5">
        <f>'[3]Mar Statistic'!J14+'[3]Apr Statistic'!D14</f>
        <v>422</v>
      </c>
      <c r="K14" s="37">
        <f t="shared" si="3"/>
        <v>-378</v>
      </c>
    </row>
    <row r="15" spans="1:11" x14ac:dyDescent="0.35">
      <c r="A15" s="36">
        <v>0</v>
      </c>
      <c r="B15" s="37">
        <v>0</v>
      </c>
      <c r="C15" s="37">
        <f t="shared" si="0"/>
        <v>0</v>
      </c>
      <c r="D15" s="5">
        <v>4</v>
      </c>
      <c r="E15" s="37">
        <f t="shared" si="1"/>
        <v>-4</v>
      </c>
      <c r="F15" t="s">
        <v>30</v>
      </c>
      <c r="G15" s="36">
        <f>A15+'Mar Statistic'!G15</f>
        <v>0</v>
      </c>
      <c r="H15" s="37">
        <f>B15+'Mar Statistic'!H15</f>
        <v>0</v>
      </c>
      <c r="I15" s="37">
        <f t="shared" si="2"/>
        <v>0</v>
      </c>
      <c r="J15" s="5">
        <f>'[3]Mar Statistic'!J15+'[3]Apr Statistic'!D15</f>
        <v>23</v>
      </c>
      <c r="K15" s="37">
        <f t="shared" si="3"/>
        <v>-23</v>
      </c>
    </row>
    <row r="16" spans="1:11" x14ac:dyDescent="0.35">
      <c r="A16" s="36">
        <v>0</v>
      </c>
      <c r="B16" s="37">
        <v>0</v>
      </c>
      <c r="C16" s="37">
        <f t="shared" si="0"/>
        <v>0</v>
      </c>
      <c r="D16" s="5">
        <v>252</v>
      </c>
      <c r="E16" s="37">
        <f t="shared" si="1"/>
        <v>-252</v>
      </c>
      <c r="F16" t="s">
        <v>31</v>
      </c>
      <c r="G16" s="36">
        <f>A16+'Mar Statistic'!G16</f>
        <v>0</v>
      </c>
      <c r="H16" s="37">
        <f>B16+'Mar Statistic'!H16</f>
        <v>0</v>
      </c>
      <c r="I16" s="37">
        <f t="shared" si="2"/>
        <v>0</v>
      </c>
      <c r="J16" s="5">
        <f>'[3]Mar Statistic'!J16+'[3]Apr Statistic'!D16</f>
        <v>1386</v>
      </c>
      <c r="K16" s="37">
        <f t="shared" si="3"/>
        <v>-1386</v>
      </c>
    </row>
    <row r="17" spans="1:11" x14ac:dyDescent="0.35">
      <c r="A17" s="36">
        <v>0</v>
      </c>
      <c r="B17" s="36">
        <v>0</v>
      </c>
      <c r="C17" s="37">
        <f t="shared" si="0"/>
        <v>0</v>
      </c>
      <c r="D17" s="5">
        <v>0</v>
      </c>
      <c r="E17" s="37">
        <f t="shared" si="1"/>
        <v>0</v>
      </c>
      <c r="F17" t="s">
        <v>32</v>
      </c>
      <c r="G17" s="36">
        <f>A17+'Mar Statistic'!G17</f>
        <v>0</v>
      </c>
      <c r="H17" s="37">
        <f>B17+'Mar Statistic'!H17</f>
        <v>0</v>
      </c>
      <c r="I17" s="37">
        <f t="shared" si="2"/>
        <v>0</v>
      </c>
      <c r="J17" s="5">
        <f>'[3]Mar Statistic'!J17+'[3]Apr Statistic'!D17</f>
        <v>9</v>
      </c>
      <c r="K17" s="37">
        <f t="shared" si="3"/>
        <v>-9</v>
      </c>
    </row>
    <row r="18" spans="1:11" x14ac:dyDescent="0.35">
      <c r="A18" s="36">
        <v>0</v>
      </c>
      <c r="B18" s="36">
        <v>0</v>
      </c>
      <c r="C18" s="37">
        <f t="shared" si="0"/>
        <v>0</v>
      </c>
      <c r="D18" s="5">
        <v>0</v>
      </c>
      <c r="E18" s="37">
        <f t="shared" si="1"/>
        <v>0</v>
      </c>
      <c r="F18" t="s">
        <v>33</v>
      </c>
      <c r="G18" s="36">
        <f>A18+'Mar Statistic'!G18</f>
        <v>0</v>
      </c>
      <c r="H18" s="37">
        <f>B18+'Mar Statistic'!H18</f>
        <v>0</v>
      </c>
      <c r="I18" s="37">
        <f t="shared" si="2"/>
        <v>0</v>
      </c>
      <c r="J18" s="5">
        <f>'[3]Mar Statistic'!J18+'[3]Apr Statistic'!D18</f>
        <v>308</v>
      </c>
      <c r="K18" s="37">
        <f t="shared" si="3"/>
        <v>-308</v>
      </c>
    </row>
    <row r="19" spans="1:11" x14ac:dyDescent="0.35">
      <c r="A19" s="36">
        <v>0</v>
      </c>
      <c r="B19" s="36">
        <v>2</v>
      </c>
      <c r="C19" s="37">
        <f t="shared" si="0"/>
        <v>-2</v>
      </c>
      <c r="D19" s="5">
        <v>3</v>
      </c>
      <c r="E19" s="37">
        <f t="shared" si="1"/>
        <v>-3</v>
      </c>
      <c r="F19" t="s">
        <v>34</v>
      </c>
      <c r="G19" s="36">
        <f>A19+'Mar Statistic'!G19</f>
        <v>0</v>
      </c>
      <c r="H19" s="37">
        <f>B19+'Mar Statistic'!H19</f>
        <v>6</v>
      </c>
      <c r="I19" s="37">
        <f t="shared" si="2"/>
        <v>-6</v>
      </c>
      <c r="J19" s="5">
        <f>'[3]Mar Statistic'!J19+'[3]Apr Statistic'!D19</f>
        <v>22</v>
      </c>
      <c r="K19" s="37">
        <f t="shared" si="3"/>
        <v>-22</v>
      </c>
    </row>
    <row r="20" spans="1:11" x14ac:dyDescent="0.35">
      <c r="A20" s="36">
        <v>0</v>
      </c>
      <c r="B20" s="36">
        <v>80</v>
      </c>
      <c r="C20" s="37">
        <f t="shared" si="0"/>
        <v>-80</v>
      </c>
      <c r="D20" s="5">
        <v>97</v>
      </c>
      <c r="E20" s="37">
        <f t="shared" si="1"/>
        <v>-97</v>
      </c>
      <c r="F20" t="s">
        <v>35</v>
      </c>
      <c r="G20" s="36">
        <f>A20+'Mar Statistic'!G20</f>
        <v>0</v>
      </c>
      <c r="H20" s="37">
        <f>B20+'Mar Statistic'!H20</f>
        <v>240</v>
      </c>
      <c r="I20" s="37">
        <f t="shared" si="2"/>
        <v>-240</v>
      </c>
      <c r="J20" s="5">
        <f>'[3]Mar Statistic'!J20+'[3]Apr Statistic'!D20</f>
        <v>783</v>
      </c>
      <c r="K20" s="37">
        <f t="shared" si="3"/>
        <v>-783</v>
      </c>
    </row>
    <row r="21" spans="1:11" x14ac:dyDescent="0.35">
      <c r="A21" s="36">
        <v>0</v>
      </c>
      <c r="B21" s="36">
        <v>4</v>
      </c>
      <c r="C21" s="37">
        <f t="shared" si="0"/>
        <v>-4</v>
      </c>
      <c r="D21" s="5">
        <v>19</v>
      </c>
      <c r="E21" s="37">
        <f t="shared" si="1"/>
        <v>-19</v>
      </c>
      <c r="F21" t="s">
        <v>36</v>
      </c>
      <c r="G21" s="36">
        <f>A21+'Mar Statistic'!G21</f>
        <v>0</v>
      </c>
      <c r="H21" s="37">
        <f>B21+'Mar Statistic'!H21</f>
        <v>8</v>
      </c>
      <c r="I21" s="37">
        <f t="shared" si="2"/>
        <v>-8</v>
      </c>
      <c r="J21" s="5">
        <f>'[3]Mar Statistic'!J21+'[3]Apr Statistic'!D21</f>
        <v>52</v>
      </c>
      <c r="K21" s="37">
        <f t="shared" si="3"/>
        <v>-52</v>
      </c>
    </row>
    <row r="22" spans="1:11" x14ac:dyDescent="0.35">
      <c r="A22" s="36">
        <v>0</v>
      </c>
      <c r="B22" s="36">
        <v>160</v>
      </c>
      <c r="C22" s="37">
        <f t="shared" si="0"/>
        <v>-160</v>
      </c>
      <c r="D22" s="5">
        <v>693</v>
      </c>
      <c r="E22" s="37">
        <f t="shared" si="1"/>
        <v>-693</v>
      </c>
      <c r="F22" t="s">
        <v>37</v>
      </c>
      <c r="G22" s="36">
        <f>A22+'Mar Statistic'!G22</f>
        <v>0</v>
      </c>
      <c r="H22" s="37">
        <f>B22+'Mar Statistic'!H22</f>
        <v>298</v>
      </c>
      <c r="I22" s="37">
        <f t="shared" si="2"/>
        <v>-298</v>
      </c>
      <c r="J22" s="5">
        <f>'[3]Mar Statistic'!J22+'[3]Apr Statistic'!D22</f>
        <v>1779</v>
      </c>
      <c r="K22" s="37">
        <f t="shared" si="3"/>
        <v>-1779</v>
      </c>
    </row>
    <row r="23" spans="1:11" x14ac:dyDescent="0.35">
      <c r="A23" s="36">
        <f>A9+A11+A13+A15+A17+A21</f>
        <v>0</v>
      </c>
      <c r="B23" s="36">
        <f t="shared" ref="B23:E24" si="4">B9+B11+B13+B15+B17+B21</f>
        <v>11</v>
      </c>
      <c r="C23" s="36">
        <f t="shared" si="4"/>
        <v>-11</v>
      </c>
      <c r="D23" s="5">
        <f>D9+D11+D13+D15+D17+D21</f>
        <v>33</v>
      </c>
      <c r="E23" s="36">
        <f t="shared" si="4"/>
        <v>-33</v>
      </c>
      <c r="F23" s="32" t="s">
        <v>40</v>
      </c>
      <c r="G23" s="36">
        <f>A23+'Mar Statistic'!G23</f>
        <v>3</v>
      </c>
      <c r="H23" s="37">
        <f>B23+'Mar Statistic'!H23</f>
        <v>26</v>
      </c>
      <c r="I23" s="37">
        <f t="shared" si="2"/>
        <v>-23</v>
      </c>
      <c r="J23" s="5">
        <f>'[3]Mar Statistic'!J23+'[3]Apr Statistic'!D23</f>
        <v>110</v>
      </c>
      <c r="K23" s="37">
        <f t="shared" si="3"/>
        <v>-107</v>
      </c>
    </row>
    <row r="24" spans="1:11" x14ac:dyDescent="0.35">
      <c r="A24" s="36">
        <f>A10+A12+A14+A16+A18+A22</f>
        <v>0</v>
      </c>
      <c r="B24" s="36">
        <f t="shared" si="4"/>
        <v>410</v>
      </c>
      <c r="C24" s="36">
        <f t="shared" si="4"/>
        <v>-410</v>
      </c>
      <c r="D24" s="5">
        <f t="shared" si="4"/>
        <v>1318</v>
      </c>
      <c r="E24" s="36">
        <f t="shared" si="4"/>
        <v>-1318</v>
      </c>
      <c r="F24" s="32" t="s">
        <v>41</v>
      </c>
      <c r="G24" s="36">
        <f>A24+'Mar Statistic'!G24</f>
        <v>44</v>
      </c>
      <c r="H24" s="37">
        <f>B24+'Mar Statistic'!H24</f>
        <v>978</v>
      </c>
      <c r="I24" s="37">
        <f t="shared" si="2"/>
        <v>-934</v>
      </c>
      <c r="J24" s="5">
        <f>'[3]Mar Statistic'!J24+'[3]Apr Statistic'!D24</f>
        <v>4634</v>
      </c>
      <c r="K24" s="37">
        <f t="shared" si="3"/>
        <v>-4590</v>
      </c>
    </row>
    <row r="25" spans="1:11" x14ac:dyDescent="0.35">
      <c r="A25" s="36">
        <v>0</v>
      </c>
      <c r="B25" s="36">
        <v>100</v>
      </c>
      <c r="C25" s="37">
        <f t="shared" si="0"/>
        <v>-100</v>
      </c>
      <c r="D25" s="5">
        <v>1514</v>
      </c>
      <c r="E25" s="37">
        <f t="shared" si="1"/>
        <v>-1514</v>
      </c>
      <c r="F25" t="s">
        <v>39</v>
      </c>
      <c r="G25" s="36">
        <f>A25+'Mar Statistic'!G25</f>
        <v>27</v>
      </c>
      <c r="H25" s="37">
        <f>B25+'Mar Statistic'!H25</f>
        <v>350</v>
      </c>
      <c r="I25" s="37">
        <f t="shared" si="2"/>
        <v>-323</v>
      </c>
      <c r="J25" s="5">
        <f>'[3]Mar Statistic'!J25+'[3]Apr Statistic'!D25</f>
        <v>12883</v>
      </c>
      <c r="K25" s="37">
        <f t="shared" si="3"/>
        <v>-12856</v>
      </c>
    </row>
    <row r="26" spans="1:11" x14ac:dyDescent="0.35">
      <c r="A26" s="36">
        <f>A24+A25</f>
        <v>0</v>
      </c>
      <c r="B26" s="36">
        <f t="shared" ref="B26:E26" si="5">B24+B25</f>
        <v>510</v>
      </c>
      <c r="C26" s="36">
        <f t="shared" si="5"/>
        <v>-510</v>
      </c>
      <c r="D26" s="5">
        <f t="shared" si="5"/>
        <v>2832</v>
      </c>
      <c r="E26" s="36">
        <f t="shared" si="5"/>
        <v>-2832</v>
      </c>
      <c r="F26" s="32" t="s">
        <v>42</v>
      </c>
      <c r="G26" s="36">
        <f>A26+'Mar Statistic'!G26</f>
        <v>71</v>
      </c>
      <c r="H26" s="37">
        <f>B26+'Mar Statistic'!H26</f>
        <v>1328</v>
      </c>
      <c r="I26" s="37">
        <f t="shared" si="2"/>
        <v>-1257</v>
      </c>
      <c r="J26" s="5">
        <f>'[3]Mar Statistic'!J26+'[3]Apr Statistic'!D26</f>
        <v>17517</v>
      </c>
      <c r="K26" s="37">
        <f t="shared" si="3"/>
        <v>-17446</v>
      </c>
    </row>
    <row r="27" spans="1:11" x14ac:dyDescent="0.35">
      <c r="A27" s="36">
        <v>1</v>
      </c>
      <c r="B27" s="37">
        <v>3</v>
      </c>
      <c r="C27" s="37">
        <f t="shared" si="0"/>
        <v>-2</v>
      </c>
      <c r="D27" s="5">
        <v>4</v>
      </c>
      <c r="E27" s="37">
        <f t="shared" si="1"/>
        <v>-3</v>
      </c>
      <c r="F27" t="s">
        <v>38</v>
      </c>
      <c r="G27" s="36">
        <f>A27+'Mar Statistic'!G27</f>
        <v>5</v>
      </c>
      <c r="H27" s="37">
        <f>B27+'Mar Statistic'!H27</f>
        <v>8</v>
      </c>
      <c r="I27" s="37">
        <f t="shared" si="2"/>
        <v>-3</v>
      </c>
      <c r="J27" s="5">
        <f>'[3]Mar Statistic'!J27+'[3]Apr Statistic'!D27</f>
        <v>12</v>
      </c>
      <c r="K27" s="37">
        <f t="shared" si="3"/>
        <v>-7</v>
      </c>
    </row>
    <row r="28" spans="1:11" x14ac:dyDescent="0.35">
      <c r="G28" s="36"/>
      <c r="H28" s="37"/>
      <c r="I28" s="37"/>
      <c r="J28" s="5">
        <f>'[3]Mar Statistic'!J28+'[3]Apr Statistic'!D28</f>
        <v>0</v>
      </c>
      <c r="K28" s="37"/>
    </row>
    <row r="29" spans="1:11" x14ac:dyDescent="0.35">
      <c r="A29">
        <f>1411+1485</f>
        <v>2896</v>
      </c>
      <c r="B29">
        <v>3800</v>
      </c>
      <c r="C29" s="6">
        <f t="shared" si="0"/>
        <v>-904</v>
      </c>
      <c r="D29">
        <f>2711+2410</f>
        <v>5121</v>
      </c>
      <c r="E29" s="6">
        <f t="shared" si="1"/>
        <v>-2225</v>
      </c>
      <c r="F29" t="s">
        <v>45</v>
      </c>
      <c r="G29" s="36">
        <f>A29+'Feb Statistics'!G29</f>
        <v>9050</v>
      </c>
      <c r="H29" s="37">
        <f>B29+'Feb Statistics'!H29</f>
        <v>11400</v>
      </c>
      <c r="I29" s="6">
        <f t="shared" ref="I29" si="6">+G29-H29</f>
        <v>-2350</v>
      </c>
      <c r="J29" s="5">
        <f>'[3]Mar Statistic'!J29+'[3]Apr Statistic'!D29</f>
        <v>18770</v>
      </c>
      <c r="K29" s="6">
        <f t="shared" ref="K29" si="7">+G29-J29</f>
        <v>-9720</v>
      </c>
    </row>
  </sheetData>
  <pageMargins left="0.7" right="0.7" top="0.75" bottom="0.75" header="0.3" footer="0.3"/>
  <pageSetup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3:K46"/>
  <sheetViews>
    <sheetView topLeftCell="A6" workbookViewId="0">
      <selection activeCell="O25" sqref="A1:XFD1048576"/>
    </sheetView>
  </sheetViews>
  <sheetFormatPr defaultRowHeight="14.5" x14ac:dyDescent="0.35"/>
  <cols>
    <col min="1" max="1" width="13.453125" customWidth="1"/>
    <col min="2" max="2" width="13.54296875" customWidth="1"/>
    <col min="3" max="3" width="12.81640625" customWidth="1"/>
    <col min="4" max="4" width="13.453125" style="1" bestFit="1" customWidth="1"/>
    <col min="5" max="5" width="12" customWidth="1"/>
    <col min="6" max="6" width="28.81640625" customWidth="1"/>
    <col min="7" max="7" width="13.453125" bestFit="1" customWidth="1"/>
    <col min="8" max="8" width="15.1796875" customWidth="1"/>
    <col min="9" max="9" width="14.1796875" customWidth="1"/>
    <col min="10" max="10" width="12.453125" style="1" bestFit="1" customWidth="1"/>
    <col min="11" max="11" width="14.453125" customWidth="1"/>
  </cols>
  <sheetData>
    <row r="3" spans="1:11" x14ac:dyDescent="0.35">
      <c r="A3" s="7"/>
    </row>
    <row r="8" spans="1:11" x14ac:dyDescent="0.35">
      <c r="F8" s="32"/>
    </row>
    <row r="9" spans="1:11" x14ac:dyDescent="0.35">
      <c r="A9" s="1"/>
      <c r="B9" s="10"/>
      <c r="C9" s="2"/>
      <c r="E9" s="2"/>
      <c r="G9" s="1"/>
      <c r="H9" s="10"/>
      <c r="I9" s="2"/>
      <c r="K9" s="2"/>
    </row>
    <row r="10" spans="1:11" x14ac:dyDescent="0.35">
      <c r="A10" s="1"/>
      <c r="B10" s="10"/>
      <c r="C10" s="2"/>
      <c r="E10" s="2"/>
      <c r="G10" s="1"/>
      <c r="H10" s="10"/>
      <c r="I10" s="2"/>
      <c r="K10" s="2"/>
    </row>
    <row r="11" spans="1:11" x14ac:dyDescent="0.35">
      <c r="A11" s="3"/>
      <c r="B11" s="11"/>
      <c r="C11" s="4"/>
      <c r="D11" s="3"/>
      <c r="E11" s="4"/>
      <c r="G11" s="1"/>
      <c r="H11" s="10"/>
      <c r="I11" s="4"/>
      <c r="J11" s="3"/>
      <c r="K11" s="4"/>
    </row>
    <row r="12" spans="1:11" x14ac:dyDescent="0.35">
      <c r="A12" s="1"/>
      <c r="B12" s="1"/>
      <c r="C12" s="1"/>
      <c r="E12" s="1"/>
      <c r="G12" s="8"/>
      <c r="H12" s="8"/>
      <c r="I12" s="8"/>
      <c r="K12" s="1"/>
    </row>
    <row r="13" spans="1:11" x14ac:dyDescent="0.35">
      <c r="A13" s="1"/>
      <c r="C13" s="2"/>
      <c r="E13" s="2"/>
      <c r="G13" s="1"/>
      <c r="I13" s="2"/>
      <c r="K13" s="2"/>
    </row>
    <row r="14" spans="1:11" x14ac:dyDescent="0.35">
      <c r="A14" s="1"/>
      <c r="B14" s="10"/>
      <c r="C14" s="2"/>
      <c r="E14" s="2"/>
      <c r="G14" s="1"/>
      <c r="H14" s="10"/>
      <c r="I14" s="2"/>
      <c r="K14" s="2"/>
    </row>
    <row r="15" spans="1:11" x14ac:dyDescent="0.35">
      <c r="A15" s="3"/>
      <c r="B15" s="11"/>
      <c r="C15" s="4"/>
      <c r="D15" s="3"/>
      <c r="E15" s="4"/>
      <c r="G15" s="1"/>
      <c r="H15" s="11"/>
      <c r="I15" s="4"/>
      <c r="J15" s="3"/>
      <c r="K15" s="4"/>
    </row>
    <row r="16" spans="1:11" x14ac:dyDescent="0.35">
      <c r="A16" s="1"/>
      <c r="B16" s="1"/>
      <c r="C16" s="1"/>
      <c r="E16" s="1"/>
      <c r="G16" s="8"/>
      <c r="H16" s="1"/>
      <c r="I16" s="1"/>
      <c r="K16" s="1"/>
    </row>
    <row r="17" spans="1:11" x14ac:dyDescent="0.35">
      <c r="A17" s="1"/>
      <c r="C17" s="2"/>
      <c r="E17" s="2"/>
      <c r="G17" s="1"/>
      <c r="I17" s="2"/>
      <c r="K17" s="2"/>
    </row>
    <row r="18" spans="1:11" x14ac:dyDescent="0.35">
      <c r="A18" s="1"/>
      <c r="B18" s="1"/>
      <c r="C18" s="1"/>
      <c r="E18" s="1"/>
      <c r="G18" s="1"/>
      <c r="H18" s="1"/>
      <c r="I18" s="1"/>
      <c r="K18" s="1"/>
    </row>
    <row r="19" spans="1:11" x14ac:dyDescent="0.35">
      <c r="A19" s="1"/>
      <c r="C19" s="2"/>
      <c r="E19" s="2"/>
      <c r="G19" s="1"/>
      <c r="I19" s="2"/>
      <c r="K19" s="2"/>
    </row>
    <row r="20" spans="1:11" x14ac:dyDescent="0.35">
      <c r="A20" s="1"/>
      <c r="C20" s="2"/>
      <c r="E20" s="2"/>
      <c r="F20" s="32"/>
      <c r="G20" s="1"/>
      <c r="I20" s="2"/>
      <c r="K20" s="2"/>
    </row>
    <row r="21" spans="1:11" x14ac:dyDescent="0.35">
      <c r="A21" s="1"/>
      <c r="B21" s="10"/>
      <c r="C21" s="2"/>
      <c r="E21" s="2"/>
      <c r="G21" s="1"/>
      <c r="H21" s="10"/>
      <c r="I21" s="2"/>
      <c r="K21" s="2"/>
    </row>
    <row r="22" spans="1:11" x14ac:dyDescent="0.35">
      <c r="A22" s="1"/>
      <c r="B22" s="10"/>
      <c r="C22" s="2"/>
      <c r="E22" s="2"/>
      <c r="G22" s="1"/>
      <c r="H22" s="10"/>
      <c r="I22" s="2"/>
      <c r="K22" s="2"/>
    </row>
    <row r="23" spans="1:11" x14ac:dyDescent="0.35">
      <c r="A23" s="1"/>
      <c r="B23" s="10"/>
      <c r="C23" s="2"/>
      <c r="E23" s="2"/>
      <c r="G23" s="1"/>
      <c r="H23" s="10"/>
      <c r="I23" s="2"/>
      <c r="K23" s="2"/>
    </row>
    <row r="24" spans="1:11" x14ac:dyDescent="0.35">
      <c r="A24" s="1"/>
      <c r="B24" s="10"/>
      <c r="C24" s="2"/>
      <c r="E24" s="2"/>
      <c r="G24" s="1"/>
      <c r="H24" s="10"/>
      <c r="I24" s="2"/>
      <c r="K24" s="2"/>
    </row>
    <row r="25" spans="1:11" x14ac:dyDescent="0.35">
      <c r="A25" s="1"/>
      <c r="B25" s="10"/>
      <c r="C25" s="2"/>
      <c r="E25" s="2"/>
      <c r="G25" s="1"/>
      <c r="H25" s="10"/>
      <c r="I25" s="2"/>
      <c r="K25" s="2"/>
    </row>
    <row r="26" spans="1:11" x14ac:dyDescent="0.35">
      <c r="A26" s="1"/>
      <c r="B26" s="10"/>
      <c r="C26" s="2"/>
      <c r="E26" s="2"/>
      <c r="G26" s="1"/>
      <c r="H26" s="10"/>
      <c r="I26" s="2"/>
      <c r="K26" s="2"/>
    </row>
    <row r="27" spans="1:11" x14ac:dyDescent="0.35">
      <c r="A27" s="1"/>
      <c r="B27" s="10"/>
      <c r="C27" s="2"/>
      <c r="E27" s="2"/>
      <c r="G27" s="1"/>
      <c r="H27" s="10"/>
      <c r="I27" s="2"/>
      <c r="K27" s="2"/>
    </row>
    <row r="28" spans="1:11" x14ac:dyDescent="0.35">
      <c r="A28" s="1"/>
      <c r="B28" s="10"/>
      <c r="C28" s="2"/>
      <c r="E28" s="2"/>
      <c r="G28" s="1"/>
      <c r="H28" s="10"/>
      <c r="I28" s="2"/>
      <c r="K28" s="2"/>
    </row>
    <row r="29" spans="1:11" x14ac:dyDescent="0.35">
      <c r="A29" s="1"/>
      <c r="B29" s="10"/>
      <c r="C29" s="2"/>
      <c r="E29" s="2"/>
      <c r="G29" s="1"/>
      <c r="H29" s="10"/>
      <c r="I29" s="2"/>
      <c r="K29" s="2"/>
    </row>
    <row r="30" spans="1:11" x14ac:dyDescent="0.35">
      <c r="A30" s="1"/>
      <c r="B30" s="10"/>
      <c r="C30" s="2"/>
      <c r="E30" s="2"/>
      <c r="G30" s="1"/>
      <c r="H30" s="10"/>
      <c r="I30" s="2"/>
      <c r="K30" s="2"/>
    </row>
    <row r="31" spans="1:11" x14ac:dyDescent="0.35">
      <c r="A31" s="1"/>
      <c r="B31" s="10"/>
      <c r="C31" s="2"/>
      <c r="E31" s="2"/>
      <c r="G31" s="1"/>
      <c r="H31" s="10"/>
      <c r="I31" s="2"/>
      <c r="K31" s="2"/>
    </row>
    <row r="32" spans="1:11" x14ac:dyDescent="0.35">
      <c r="A32" s="3"/>
      <c r="B32" s="11"/>
      <c r="C32" s="4"/>
      <c r="D32" s="3"/>
      <c r="E32" s="4"/>
      <c r="G32" s="1"/>
      <c r="H32" s="11"/>
      <c r="I32" s="4"/>
      <c r="J32" s="3"/>
      <c r="K32" s="4"/>
    </row>
    <row r="33" spans="1:11" x14ac:dyDescent="0.35">
      <c r="A33" s="1"/>
      <c r="B33" s="1"/>
      <c r="C33" s="1"/>
      <c r="E33" s="1"/>
      <c r="G33" s="8"/>
      <c r="H33" s="1"/>
      <c r="I33" s="1"/>
      <c r="K33" s="1"/>
    </row>
    <row r="34" spans="1:11" x14ac:dyDescent="0.35">
      <c r="A34" s="1"/>
      <c r="C34" s="2"/>
      <c r="E34" s="2"/>
      <c r="G34" s="9"/>
      <c r="I34" s="2"/>
      <c r="K34" s="2"/>
    </row>
    <row r="35" spans="1:11" x14ac:dyDescent="0.35">
      <c r="A35" s="1"/>
      <c r="B35" s="1"/>
      <c r="C35" s="1"/>
      <c r="E35" s="1"/>
      <c r="G35" s="9"/>
      <c r="H35" s="9"/>
      <c r="I35" s="9"/>
      <c r="J35" s="9"/>
      <c r="K35" s="1"/>
    </row>
    <row r="36" spans="1:11" x14ac:dyDescent="0.35">
      <c r="A36" s="1"/>
      <c r="B36" s="10"/>
      <c r="C36" s="2"/>
      <c r="E36" s="2"/>
      <c r="G36" s="9"/>
      <c r="H36" s="10"/>
      <c r="I36" s="2"/>
      <c r="K36" s="2"/>
    </row>
    <row r="37" spans="1:11" x14ac:dyDescent="0.35">
      <c r="A37" s="1"/>
      <c r="B37" s="10"/>
      <c r="C37" s="2"/>
      <c r="E37" s="2"/>
      <c r="G37" s="1"/>
      <c r="H37" s="10"/>
      <c r="I37" s="2"/>
      <c r="K37" s="2"/>
    </row>
    <row r="38" spans="1:11" x14ac:dyDescent="0.35">
      <c r="A38" s="3"/>
      <c r="B38" s="11"/>
      <c r="C38" s="4"/>
      <c r="D38" s="3"/>
      <c r="E38" s="4"/>
      <c r="G38" s="1"/>
      <c r="H38" s="11"/>
      <c r="I38" s="4"/>
      <c r="J38" s="3"/>
      <c r="K38" s="4"/>
    </row>
    <row r="39" spans="1:11" x14ac:dyDescent="0.35">
      <c r="A39" s="1"/>
      <c r="B39" s="1"/>
      <c r="C39" s="1"/>
      <c r="E39" s="1"/>
      <c r="G39" s="8"/>
      <c r="H39" s="8"/>
      <c r="I39" s="8"/>
      <c r="K39" s="1"/>
    </row>
    <row r="40" spans="1:11" x14ac:dyDescent="0.35">
      <c r="A40" s="1"/>
      <c r="C40" s="2"/>
      <c r="E40" s="2"/>
      <c r="G40" s="9"/>
      <c r="I40" s="2"/>
      <c r="K40" s="2"/>
    </row>
    <row r="41" spans="1:11" x14ac:dyDescent="0.35">
      <c r="A41" s="1"/>
      <c r="C41" s="2"/>
      <c r="E41" s="2"/>
      <c r="G41" s="9"/>
      <c r="I41" s="2"/>
      <c r="K41" s="2"/>
    </row>
    <row r="42" spans="1:11" x14ac:dyDescent="0.35">
      <c r="A42" s="3"/>
      <c r="B42" s="3"/>
      <c r="C42" s="3"/>
      <c r="D42" s="3"/>
      <c r="E42" s="3"/>
      <c r="F42" s="14"/>
      <c r="G42" s="3"/>
      <c r="H42" s="3"/>
      <c r="I42" s="3"/>
      <c r="J42" s="3"/>
      <c r="K42" s="3"/>
    </row>
    <row r="43" spans="1:11" x14ac:dyDescent="0.35">
      <c r="D43"/>
    </row>
    <row r="44" spans="1:11" ht="15" thickBot="1" x14ac:dyDescent="0.4">
      <c r="A44" s="9"/>
      <c r="B44" s="9"/>
      <c r="C44" s="13"/>
      <c r="D44" s="9"/>
      <c r="E44" s="13"/>
      <c r="G44" s="1"/>
      <c r="H44" s="15"/>
      <c r="I44" s="13"/>
      <c r="J44" s="9"/>
      <c r="K44" s="13"/>
    </row>
    <row r="45" spans="1:11" ht="15" thickBot="1" x14ac:dyDescent="0.4">
      <c r="A45" s="16"/>
      <c r="B45" s="16"/>
      <c r="C45" s="16"/>
      <c r="D45" s="16"/>
      <c r="E45" s="17"/>
      <c r="F45" s="14"/>
      <c r="G45" s="16"/>
      <c r="H45" s="17"/>
      <c r="I45" s="16"/>
      <c r="J45" s="16"/>
      <c r="K45" s="16"/>
    </row>
    <row r="46" spans="1:11" ht="15" thickTop="1" x14ac:dyDescent="0.35"/>
  </sheetData>
  <pageMargins left="0.7" right="0.7" top="0.75" bottom="0.75" header="0.3" footer="0.3"/>
  <pageSetup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Jan Income</vt:lpstr>
      <vt:lpstr>Jan Statistics</vt:lpstr>
      <vt:lpstr>Feb Income</vt:lpstr>
      <vt:lpstr>Feb Statistics</vt:lpstr>
      <vt:lpstr>Mar Income</vt:lpstr>
      <vt:lpstr>Mar Statistic</vt:lpstr>
      <vt:lpstr>Apr Income</vt:lpstr>
      <vt:lpstr>Apr Statistics</vt:lpstr>
      <vt:lpstr>May Income</vt:lpstr>
      <vt:lpstr>May Statistic</vt:lpstr>
      <vt:lpstr>June Income</vt:lpstr>
      <vt:lpstr>June Statistic</vt:lpstr>
      <vt:lpstr>July Income</vt:lpstr>
      <vt:lpstr>July Statistic</vt:lpstr>
      <vt:lpstr>Aug Income</vt:lpstr>
      <vt:lpstr>Aug Statistic</vt:lpstr>
      <vt:lpstr>Sept Income</vt:lpstr>
      <vt:lpstr>Sept Statistic</vt:lpstr>
      <vt:lpstr>Oct Income</vt:lpstr>
      <vt:lpstr>Oct Statistic</vt:lpstr>
      <vt:lpstr>Nov Income</vt:lpstr>
      <vt:lpstr>Nov Statistic</vt:lpstr>
      <vt:lpstr>Dec Income</vt:lpstr>
      <vt:lpstr>Dec Statistic</vt:lpstr>
    </vt:vector>
  </TitlesOfParts>
  <Company>GHCH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HOWDEN</dc:creator>
  <cp:lastModifiedBy>Brandi Bednarik</cp:lastModifiedBy>
  <cp:lastPrinted>2020-04-25T04:27:13Z</cp:lastPrinted>
  <dcterms:created xsi:type="dcterms:W3CDTF">2013-01-21T18:42:16Z</dcterms:created>
  <dcterms:modified xsi:type="dcterms:W3CDTF">2020-05-29T21:01:08Z</dcterms:modified>
</cp:coreProperties>
</file>