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edn\Dropbox (GHHS)\Administration\board\2020\"/>
    </mc:Choice>
  </mc:AlternateContent>
  <xr:revisionPtr revIDLastSave="0" documentId="8_{17C8FD7F-5B18-412E-92E8-1C1D0D7FE97D}" xr6:coauthVersionLast="36" xr6:coauthVersionMax="36" xr10:uidLastSave="{00000000-0000-0000-0000-000000000000}"/>
  <bookViews>
    <workbookView xWindow="0" yWindow="0" windowWidth="19200" windowHeight="6930" activeTab="3" xr2:uid="{00000000-000D-0000-FFFF-FFFF00000000}"/>
  </bookViews>
  <sheets>
    <sheet name="Jan 2020" sheetId="4" r:id="rId1"/>
    <sheet name="Feb 2020" sheetId="5" r:id="rId2"/>
    <sheet name="March 2020" sheetId="2" r:id="rId3"/>
    <sheet name="Apr 2020" sheetId="6" r:id="rId4"/>
    <sheet name="May 2020" sheetId="7" r:id="rId5"/>
    <sheet name="June 2020" sheetId="8" r:id="rId6"/>
    <sheet name="July 2020" sheetId="9" r:id="rId7"/>
    <sheet name="Aug 2020" sheetId="10" r:id="rId8"/>
    <sheet name="Sept 2020" sheetId="11" r:id="rId9"/>
    <sheet name="Oct 2020" sheetId="12" r:id="rId10"/>
    <sheet name="Nov 2020" sheetId="14" r:id="rId11"/>
    <sheet name="Dec 2020" sheetId="15" r:id="rId12"/>
  </sheets>
  <calcPr calcId="191029"/>
</workbook>
</file>

<file path=xl/calcChain.xml><?xml version="1.0" encoding="utf-8"?>
<calcChain xmlns="http://schemas.openxmlformats.org/spreadsheetml/2006/main">
  <c r="B35" i="6" l="1"/>
  <c r="B13" i="6"/>
  <c r="B10" i="6"/>
  <c r="B7" i="6"/>
  <c r="D45" i="6"/>
  <c r="D36" i="6"/>
  <c r="D35" i="6"/>
  <c r="D30" i="6"/>
  <c r="D25" i="6"/>
  <c r="D17" i="6"/>
  <c r="D13" i="6"/>
  <c r="D10" i="6"/>
  <c r="D7" i="6"/>
  <c r="D11" i="6" s="1"/>
  <c r="H45" i="6"/>
  <c r="H36" i="6"/>
  <c r="H35" i="6"/>
  <c r="H37" i="6" s="1"/>
  <c r="H30" i="6"/>
  <c r="H27" i="6"/>
  <c r="H17" i="6"/>
  <c r="H13" i="6"/>
  <c r="H10" i="6"/>
  <c r="H7" i="6"/>
  <c r="H11" i="6" s="1"/>
  <c r="H39" i="6" l="1"/>
  <c r="D37" i="6"/>
  <c r="D39" i="6" s="1"/>
  <c r="D47" i="6" s="1"/>
  <c r="H19" i="6"/>
  <c r="D19" i="6"/>
  <c r="H47" i="6"/>
  <c r="F45" i="6" l="1"/>
  <c r="F36" i="6"/>
  <c r="F37" i="6" s="1"/>
  <c r="F39" i="6" s="1"/>
  <c r="F47" i="6" s="1"/>
  <c r="F35" i="6"/>
  <c r="F30" i="6"/>
  <c r="F17" i="6"/>
  <c r="F13" i="6"/>
  <c r="F10" i="6"/>
  <c r="F7" i="6"/>
  <c r="F11" i="6" s="1"/>
  <c r="F19" i="6" l="1"/>
  <c r="B13" i="2"/>
  <c r="B10" i="2"/>
  <c r="B7" i="2"/>
  <c r="B35" i="2" l="1"/>
  <c r="B25" i="2"/>
  <c r="D45" i="2"/>
  <c r="D36" i="2"/>
  <c r="D35" i="2"/>
  <c r="D37" i="2" s="1"/>
  <c r="D39" i="2" s="1"/>
  <c r="D30" i="2"/>
  <c r="D17" i="2"/>
  <c r="D13" i="2"/>
  <c r="D10" i="2"/>
  <c r="D7" i="2"/>
  <c r="D11" i="2" s="1"/>
  <c r="D19" i="2" l="1"/>
  <c r="D47" i="2"/>
  <c r="B35" i="5"/>
  <c r="D45" i="5"/>
  <c r="D35" i="5"/>
  <c r="D37" i="5" s="1"/>
  <c r="D25" i="5"/>
  <c r="D30" i="5" s="1"/>
  <c r="D17" i="5"/>
  <c r="D13" i="5"/>
  <c r="D10" i="5"/>
  <c r="D7" i="5"/>
  <c r="D11" i="5" s="1"/>
  <c r="B13" i="5"/>
  <c r="B10" i="5"/>
  <c r="B7" i="5"/>
  <c r="H45" i="15"/>
  <c r="H36" i="15"/>
  <c r="H37" i="15" s="1"/>
  <c r="H39" i="15" s="1"/>
  <c r="H35" i="15"/>
  <c r="H30" i="15"/>
  <c r="H17" i="15"/>
  <c r="H13" i="15"/>
  <c r="H10" i="15"/>
  <c r="H7" i="15"/>
  <c r="H45" i="14"/>
  <c r="H37" i="14"/>
  <c r="H39" i="14" s="1"/>
  <c r="H36" i="14"/>
  <c r="H35" i="14"/>
  <c r="H25" i="14"/>
  <c r="H30" i="14" s="1"/>
  <c r="H17" i="14"/>
  <c r="H13" i="14"/>
  <c r="H11" i="14"/>
  <c r="H10" i="14"/>
  <c r="H7" i="14"/>
  <c r="H45" i="12"/>
  <c r="H36" i="12"/>
  <c r="H35" i="12"/>
  <c r="H37" i="12" s="1"/>
  <c r="H25" i="12"/>
  <c r="H30" i="12" s="1"/>
  <c r="H17" i="12"/>
  <c r="H13" i="12"/>
  <c r="H11" i="12"/>
  <c r="H10" i="12"/>
  <c r="H9" i="12"/>
  <c r="H7" i="12"/>
  <c r="H45" i="11"/>
  <c r="H36" i="11"/>
  <c r="H37" i="11" s="1"/>
  <c r="H35" i="11"/>
  <c r="H25" i="11"/>
  <c r="H30" i="11" s="1"/>
  <c r="H17" i="11"/>
  <c r="H13" i="11"/>
  <c r="H10" i="11"/>
  <c r="H7" i="11"/>
  <c r="H11" i="11" s="1"/>
  <c r="H45" i="10"/>
  <c r="H36" i="10"/>
  <c r="H37" i="10" s="1"/>
  <c r="H39" i="10" s="1"/>
  <c r="H35" i="10"/>
  <c r="H30" i="10"/>
  <c r="H17" i="10"/>
  <c r="H13" i="10"/>
  <c r="H10" i="10"/>
  <c r="H9" i="10"/>
  <c r="H8" i="10"/>
  <c r="H7" i="10"/>
  <c r="H11" i="10" s="1"/>
  <c r="H19" i="10" s="1"/>
  <c r="H45" i="9"/>
  <c r="H36" i="9"/>
  <c r="H37" i="9" s="1"/>
  <c r="H39" i="9" s="1"/>
  <c r="H35" i="9"/>
  <c r="H30" i="9"/>
  <c r="H16" i="9"/>
  <c r="H17" i="9" s="1"/>
  <c r="H13" i="9"/>
  <c r="H11" i="9"/>
  <c r="H10" i="9"/>
  <c r="H9" i="9"/>
  <c r="H7" i="9"/>
  <c r="H45" i="8"/>
  <c r="H36" i="8"/>
  <c r="H37" i="8" s="1"/>
  <c r="H39" i="8" s="1"/>
  <c r="H35" i="8"/>
  <c r="H32" i="8"/>
  <c r="H30" i="8"/>
  <c r="H17" i="8"/>
  <c r="H13" i="8"/>
  <c r="H10" i="8"/>
  <c r="H7" i="8"/>
  <c r="H11" i="8" s="1"/>
  <c r="H45" i="7"/>
  <c r="H36" i="7"/>
  <c r="H37" i="7" s="1"/>
  <c r="H39" i="7" s="1"/>
  <c r="H47" i="7" s="1"/>
  <c r="H35" i="7"/>
  <c r="H30" i="7"/>
  <c r="H17" i="7"/>
  <c r="H13" i="7"/>
  <c r="H10" i="7"/>
  <c r="H9" i="7"/>
  <c r="H11" i="7" s="1"/>
  <c r="H7" i="7"/>
  <c r="H19" i="12" l="1"/>
  <c r="H19" i="14"/>
  <c r="H47" i="10"/>
  <c r="H11" i="15"/>
  <c r="H19" i="15" s="1"/>
  <c r="H19" i="8"/>
  <c r="H19" i="9"/>
  <c r="H47" i="9"/>
  <c r="H19" i="11"/>
  <c r="D19" i="5"/>
  <c r="D39" i="5"/>
  <c r="D47" i="5" s="1"/>
  <c r="H47" i="15"/>
  <c r="H47" i="14"/>
  <c r="H39" i="12"/>
  <c r="H47" i="12" s="1"/>
  <c r="H39" i="11"/>
  <c r="H47" i="11" s="1"/>
  <c r="H47" i="8"/>
  <c r="H19" i="7"/>
  <c r="H45" i="2" l="1"/>
  <c r="H37" i="2"/>
  <c r="H39" i="2" s="1"/>
  <c r="H36" i="2"/>
  <c r="H35" i="2"/>
  <c r="H30" i="2"/>
  <c r="H17" i="2"/>
  <c r="H13" i="2"/>
  <c r="H10" i="2"/>
  <c r="H11" i="2" s="1"/>
  <c r="H19" i="2" s="1"/>
  <c r="H7" i="2"/>
  <c r="H47" i="2" l="1"/>
  <c r="F45" i="15" l="1"/>
  <c r="F36" i="15"/>
  <c r="F35" i="15"/>
  <c r="F37" i="15" s="1"/>
  <c r="F39" i="15" s="1"/>
  <c r="F30" i="15"/>
  <c r="F17" i="15"/>
  <c r="F13" i="15"/>
  <c r="F10" i="15"/>
  <c r="F11" i="15" s="1"/>
  <c r="F7" i="15"/>
  <c r="F45" i="14"/>
  <c r="F36" i="14"/>
  <c r="F35" i="14"/>
  <c r="F30" i="14"/>
  <c r="F17" i="14"/>
  <c r="F13" i="14"/>
  <c r="F10" i="14"/>
  <c r="F7" i="14"/>
  <c r="F45" i="12"/>
  <c r="F36" i="12"/>
  <c r="F37" i="12" s="1"/>
  <c r="F35" i="12"/>
  <c r="F30" i="12"/>
  <c r="F17" i="12"/>
  <c r="F13" i="12"/>
  <c r="F10" i="12"/>
  <c r="F7" i="12"/>
  <c r="F45" i="11"/>
  <c r="F36" i="11"/>
  <c r="F35" i="11"/>
  <c r="F37" i="11" s="1"/>
  <c r="F39" i="11" s="1"/>
  <c r="F30" i="11"/>
  <c r="F17" i="11"/>
  <c r="F13" i="11"/>
  <c r="F10" i="11"/>
  <c r="F11" i="11" s="1"/>
  <c r="F7" i="11"/>
  <c r="F45" i="10"/>
  <c r="F36" i="10"/>
  <c r="F35" i="10"/>
  <c r="F37" i="10" s="1"/>
  <c r="F39" i="10" s="1"/>
  <c r="F30" i="10"/>
  <c r="F17" i="10"/>
  <c r="F13" i="10"/>
  <c r="F10" i="10"/>
  <c r="F7" i="10"/>
  <c r="F45" i="9"/>
  <c r="F36" i="9"/>
  <c r="F35" i="9"/>
  <c r="F30" i="9"/>
  <c r="F17" i="9"/>
  <c r="F13" i="9"/>
  <c r="F10" i="9"/>
  <c r="F7" i="9"/>
  <c r="F11" i="9" s="1"/>
  <c r="F45" i="8"/>
  <c r="F36" i="8"/>
  <c r="F37" i="8" s="1"/>
  <c r="F39" i="8" s="1"/>
  <c r="F35" i="8"/>
  <c r="F30" i="8"/>
  <c r="F17" i="8"/>
  <c r="F13" i="8"/>
  <c r="F10" i="8"/>
  <c r="F11" i="8" s="1"/>
  <c r="F19" i="8" s="1"/>
  <c r="F7" i="8"/>
  <c r="F45" i="7"/>
  <c r="F36" i="7"/>
  <c r="F37" i="7" s="1"/>
  <c r="F35" i="7"/>
  <c r="F30" i="7"/>
  <c r="F17" i="7"/>
  <c r="F13" i="7"/>
  <c r="F10" i="7"/>
  <c r="F7" i="7"/>
  <c r="F45" i="2"/>
  <c r="F36" i="2"/>
  <c r="F37" i="2" s="1"/>
  <c r="F35" i="2"/>
  <c r="F30" i="2"/>
  <c r="F17" i="2"/>
  <c r="F13" i="2"/>
  <c r="F10" i="2"/>
  <c r="F7" i="2"/>
  <c r="F45" i="5"/>
  <c r="F36" i="5"/>
  <c r="F35" i="5"/>
  <c r="F30" i="5"/>
  <c r="F17" i="5"/>
  <c r="F13" i="5"/>
  <c r="F10" i="5"/>
  <c r="F7" i="5"/>
  <c r="F11" i="5" s="1"/>
  <c r="F19" i="15" l="1"/>
  <c r="F39" i="2"/>
  <c r="F47" i="2" s="1"/>
  <c r="F37" i="9"/>
  <c r="F39" i="9" s="1"/>
  <c r="F47" i="9" s="1"/>
  <c r="F11" i="2"/>
  <c r="F11" i="7"/>
  <c r="F19" i="7" s="1"/>
  <c r="F39" i="12"/>
  <c r="F47" i="12" s="1"/>
  <c r="F37" i="14"/>
  <c r="F39" i="14" s="1"/>
  <c r="F47" i="14" s="1"/>
  <c r="F11" i="10"/>
  <c r="F19" i="10" s="1"/>
  <c r="F39" i="7"/>
  <c r="F47" i="7" s="1"/>
  <c r="F19" i="11"/>
  <c r="F11" i="12"/>
  <c r="F19" i="12" s="1"/>
  <c r="F11" i="14"/>
  <c r="F19" i="14" s="1"/>
  <c r="F19" i="5"/>
  <c r="F37" i="5"/>
  <c r="F39" i="5" s="1"/>
  <c r="F47" i="5" s="1"/>
  <c r="F47" i="15"/>
  <c r="F47" i="11"/>
  <c r="F47" i="10"/>
  <c r="F19" i="9"/>
  <c r="F47" i="8"/>
  <c r="F19" i="2"/>
  <c r="B35" i="4"/>
  <c r="B25" i="4"/>
  <c r="B13" i="4"/>
  <c r="B10" i="4"/>
  <c r="B7" i="4"/>
  <c r="H45" i="4" l="1"/>
  <c r="H36" i="4"/>
  <c r="H37" i="4" s="1"/>
  <c r="H39" i="4" s="1"/>
  <c r="H47" i="4" s="1"/>
  <c r="H35" i="4"/>
  <c r="H30" i="4"/>
  <c r="H17" i="4"/>
  <c r="H13" i="4"/>
  <c r="H10" i="4"/>
  <c r="H7" i="4"/>
  <c r="H11" i="4" s="1"/>
  <c r="F45" i="4"/>
  <c r="F36" i="4"/>
  <c r="F35" i="4"/>
  <c r="F30" i="4"/>
  <c r="F17" i="4"/>
  <c r="F13" i="4"/>
  <c r="F10" i="4"/>
  <c r="F7" i="4"/>
  <c r="F11" i="4" s="1"/>
  <c r="D45" i="4"/>
  <c r="D36" i="4"/>
  <c r="D35" i="4"/>
  <c r="D30" i="4"/>
  <c r="D17" i="4"/>
  <c r="D13" i="4"/>
  <c r="D10" i="4"/>
  <c r="D7" i="4"/>
  <c r="D11" i="4" s="1"/>
  <c r="H19" i="4" l="1"/>
  <c r="D19" i="4"/>
  <c r="D37" i="4"/>
  <c r="D39" i="4" s="1"/>
  <c r="F37" i="4"/>
  <c r="F39" i="4" s="1"/>
  <c r="D47" i="4"/>
  <c r="F19" i="4"/>
  <c r="F47" i="4"/>
  <c r="B45" i="15" l="1"/>
  <c r="B36" i="15"/>
  <c r="B37" i="15" s="1"/>
  <c r="B39" i="15" s="1"/>
  <c r="B47" i="15" s="1"/>
  <c r="B30" i="15"/>
  <c r="B17" i="15"/>
  <c r="B11" i="15"/>
  <c r="B36" i="8"/>
  <c r="D36" i="8"/>
  <c r="B11" i="11"/>
  <c r="B17" i="11"/>
  <c r="B30" i="11"/>
  <c r="B36" i="11"/>
  <c r="B37" i="11" s="1"/>
  <c r="B45" i="11"/>
  <c r="B45" i="4"/>
  <c r="B30" i="4"/>
  <c r="B37" i="4"/>
  <c r="B17" i="4"/>
  <c r="B11" i="4"/>
  <c r="B19" i="15" l="1"/>
  <c r="B39" i="11"/>
  <c r="B47" i="11" s="1"/>
  <c r="B19" i="11"/>
  <c r="B39" i="4"/>
  <c r="B47" i="4" s="1"/>
  <c r="B19" i="4"/>
  <c r="D45" i="14" l="1"/>
  <c r="D36" i="14"/>
  <c r="D30" i="14"/>
  <c r="D17" i="14"/>
  <c r="D11" i="14"/>
  <c r="D37" i="14" l="1"/>
  <c r="D39" i="14" s="1"/>
  <c r="D47" i="14" s="1"/>
  <c r="D19" i="14"/>
  <c r="D45" i="12"/>
  <c r="D36" i="12"/>
  <c r="D30" i="12"/>
  <c r="D17" i="12"/>
  <c r="D11" i="12"/>
  <c r="D37" i="12" l="1"/>
  <c r="D39" i="12" s="1"/>
  <c r="D47" i="12" s="1"/>
  <c r="D19" i="12"/>
  <c r="D45" i="11"/>
  <c r="D36" i="11"/>
  <c r="D37" i="11"/>
  <c r="D39" i="11" s="1"/>
  <c r="D30" i="11"/>
  <c r="D17" i="11"/>
  <c r="D11" i="11"/>
  <c r="D19" i="11" l="1"/>
  <c r="D47" i="11"/>
  <c r="D45" i="10" l="1"/>
  <c r="D36" i="10"/>
  <c r="D30" i="10"/>
  <c r="D17" i="10"/>
  <c r="D11" i="10"/>
  <c r="D37" i="10" l="1"/>
  <c r="D39" i="10" s="1"/>
  <c r="D47" i="10" s="1"/>
  <c r="D19" i="10"/>
  <c r="D45" i="9" l="1"/>
  <c r="D36" i="9"/>
  <c r="D30" i="9"/>
  <c r="D17" i="9"/>
  <c r="D11" i="9"/>
  <c r="D37" i="9" l="1"/>
  <c r="D39" i="9" s="1"/>
  <c r="D47" i="9" s="1"/>
  <c r="D19" i="9"/>
  <c r="D45" i="8"/>
  <c r="D30" i="8"/>
  <c r="D17" i="8"/>
  <c r="D11" i="8"/>
  <c r="D45" i="7"/>
  <c r="D36" i="7"/>
  <c r="D30" i="7"/>
  <c r="D17" i="7"/>
  <c r="D11" i="7"/>
  <c r="D37" i="8" l="1"/>
  <c r="D39" i="8" s="1"/>
  <c r="D47" i="8" s="1"/>
  <c r="D19" i="8"/>
  <c r="D37" i="7"/>
  <c r="D39" i="7" s="1"/>
  <c r="D47" i="7" s="1"/>
  <c r="D19" i="7"/>
  <c r="B45" i="2" l="1"/>
  <c r="B17" i="5" l="1"/>
  <c r="B17" i="8" l="1"/>
  <c r="B30" i="8"/>
  <c r="B45" i="8"/>
  <c r="B37" i="8" l="1"/>
  <c r="B39" i="8" s="1"/>
  <c r="B47" i="8" s="1"/>
  <c r="B11" i="8"/>
  <c r="B19" i="8" s="1"/>
  <c r="B45" i="6" l="1"/>
  <c r="B36" i="14" l="1"/>
  <c r="B36" i="12"/>
  <c r="B36" i="5"/>
  <c r="B36" i="10" l="1"/>
  <c r="B36" i="9" l="1"/>
  <c r="B36" i="7" l="1"/>
  <c r="B36" i="6" l="1"/>
  <c r="B36" i="2" l="1"/>
  <c r="D36" i="15" l="1"/>
  <c r="D37" i="15" l="1"/>
  <c r="D45" i="15"/>
  <c r="D17" i="15"/>
  <c r="D11" i="15"/>
  <c r="B37" i="14"/>
  <c r="B45" i="14"/>
  <c r="B17" i="14"/>
  <c r="B11" i="14"/>
  <c r="B45" i="12"/>
  <c r="B17" i="12"/>
  <c r="B11" i="12"/>
  <c r="B19" i="12" l="1"/>
  <c r="B19" i="14"/>
  <c r="D19" i="15"/>
  <c r="D30" i="15"/>
  <c r="D39" i="15" s="1"/>
  <c r="D47" i="15" s="1"/>
  <c r="B30" i="14"/>
  <c r="B39" i="14" s="1"/>
  <c r="B47" i="14" s="1"/>
  <c r="B30" i="12"/>
  <c r="B37" i="12"/>
  <c r="B39" i="12" l="1"/>
  <c r="B47" i="12" s="1"/>
  <c r="B45" i="10" l="1"/>
  <c r="B37" i="10"/>
  <c r="B30" i="10"/>
  <c r="B17" i="10"/>
  <c r="B11" i="10"/>
  <c r="B19" i="10" l="1"/>
  <c r="B39" i="10"/>
  <c r="B47" i="10" s="1"/>
  <c r="B45" i="9"/>
  <c r="B37" i="9"/>
  <c r="B30" i="9"/>
  <c r="B17" i="9"/>
  <c r="B11" i="9"/>
  <c r="B19" i="9" l="1"/>
  <c r="B39" i="9"/>
  <c r="B47" i="9" s="1"/>
  <c r="B45" i="7" l="1"/>
  <c r="B37" i="7"/>
  <c r="B30" i="7"/>
  <c r="B17" i="7"/>
  <c r="B11" i="7"/>
  <c r="B19" i="7" l="1"/>
  <c r="B39" i="7"/>
  <c r="B47" i="7" s="1"/>
  <c r="B37" i="6"/>
  <c r="B30" i="6"/>
  <c r="B17" i="6"/>
  <c r="B11" i="6"/>
  <c r="B19" i="6" l="1"/>
  <c r="B39" i="6"/>
  <c r="B47" i="6" s="1"/>
  <c r="B45" i="5" l="1"/>
  <c r="B37" i="5"/>
  <c r="B11" i="5"/>
  <c r="B19" i="5" l="1"/>
  <c r="B30" i="5"/>
  <c r="B39" i="5" s="1"/>
  <c r="B47" i="5" s="1"/>
  <c r="B37" i="2" l="1"/>
  <c r="B30" i="2" l="1"/>
  <c r="B39" i="2" s="1"/>
  <c r="B47" i="2" s="1"/>
  <c r="B11" i="2"/>
  <c r="B17" i="2"/>
  <c r="B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mikayla</author>
  </authors>
  <commentList>
    <comment ref="A44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mikayla:</t>
        </r>
        <r>
          <rPr>
            <sz val="9"/>
            <color indexed="81"/>
            <rFont val="Tahoma"/>
            <family val="2"/>
          </rPr>
          <t xml:space="preserve">
Should match P/L YTD Net Income
</t>
        </r>
      </text>
    </comment>
  </commentList>
</comments>
</file>

<file path=xl/sharedStrings.xml><?xml version="1.0" encoding="utf-8"?>
<sst xmlns="http://schemas.openxmlformats.org/spreadsheetml/2006/main" count="488" uniqueCount="50">
  <si>
    <t>ASSETS</t>
  </si>
  <si>
    <t>Current Assets</t>
  </si>
  <si>
    <t>Accounts Receivable</t>
  </si>
  <si>
    <t>Other Current Assets</t>
  </si>
  <si>
    <t>Fixed Assets</t>
  </si>
  <si>
    <t>LIABILITIES &amp; EQUITY</t>
  </si>
  <si>
    <t>Current Liabilities</t>
  </si>
  <si>
    <t>Accounts Payable</t>
  </si>
  <si>
    <t>Total Liabilities</t>
  </si>
  <si>
    <t>Cash</t>
  </si>
  <si>
    <t>Inventory</t>
  </si>
  <si>
    <t xml:space="preserve">  Total Current Assets</t>
  </si>
  <si>
    <t>Less Accumulated Depreciation</t>
  </si>
  <si>
    <t xml:space="preserve">  Net Fixed Assets</t>
  </si>
  <si>
    <t>Total Assets</t>
  </si>
  <si>
    <t>LIABILITIES</t>
  </si>
  <si>
    <t>Credit Card Payable</t>
  </si>
  <si>
    <t>Sales Tax Payable</t>
  </si>
  <si>
    <t>Payroll &amp; Related</t>
  </si>
  <si>
    <t>Deferred Revenue</t>
  </si>
  <si>
    <t xml:space="preserve">  Total Current Liabilities</t>
  </si>
  <si>
    <t>Current Portion of Long Term Debt</t>
  </si>
  <si>
    <t>Long Term Debt</t>
  </si>
  <si>
    <t>Total Long Term Debt</t>
  </si>
  <si>
    <t>Less: Current Portion</t>
  </si>
  <si>
    <t xml:space="preserve"> Net Long Term Debt</t>
  </si>
  <si>
    <t>EQUITIES</t>
  </si>
  <si>
    <t>Opening Balance Equity</t>
  </si>
  <si>
    <t>Retained Earnings</t>
  </si>
  <si>
    <t xml:space="preserve">  Total Equity</t>
  </si>
  <si>
    <t>Total Liabilities &amp; Equity</t>
  </si>
  <si>
    <t>Grays Harbor Historical Seaport</t>
  </si>
  <si>
    <t>Comparative Balance Sheet</t>
  </si>
  <si>
    <t>Net Income (Current Year)</t>
  </si>
  <si>
    <t>Current Month</t>
  </si>
  <si>
    <t>Previous Month</t>
  </si>
  <si>
    <t>Previous Year End</t>
  </si>
  <si>
    <t>Same Period Previous Year</t>
  </si>
  <si>
    <t>Restricted Cash</t>
  </si>
  <si>
    <t>Line of Credit</t>
  </si>
  <si>
    <t>After Accountant Changes</t>
  </si>
  <si>
    <t>PENDING Accountant Changes</t>
  </si>
  <si>
    <t xml:space="preserve"> Interim  </t>
  </si>
  <si>
    <t xml:space="preserve"> Current Month </t>
  </si>
  <si>
    <t xml:space="preserve"> Previous Month </t>
  </si>
  <si>
    <t xml:space="preserve"> Previous Year End </t>
  </si>
  <si>
    <t xml:space="preserve"> Same Period Previous Year </t>
  </si>
  <si>
    <t xml:space="preserve"> -   </t>
  </si>
  <si>
    <t>12/31/2018</t>
  </si>
  <si>
    <t>11/31/2018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</si>
</sst>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_);\(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/>
    <xf numFmtId="43" fontId="0" fillId="0" borderId="0" xfId="1" applyFont="1"/>
    <xf numFmtId="43" fontId="0" fillId="0" borderId="0" xfId="1" quotePrefix="1" applyNumberFormat="1" applyFont="1"/>
    <xf numFmtId="43" fontId="0" fillId="0" borderId="0" xfId="1" applyNumberFormat="1" applyFont="1"/>
    <xf numFmtId="43" fontId="0" fillId="0" borderId="1" xfId="1" applyNumberFormat="1" applyFont="1" applyBorder="1"/>
    <xf numFmtId="43" fontId="0" fillId="0" borderId="3" xfId="1" applyNumberFormat="1" applyFont="1" applyBorder="1"/>
    <xf numFmtId="43" fontId="0" fillId="0" borderId="0" xfId="1" applyNumberFormat="1" applyFont="1" applyBorder="1"/>
    <xf numFmtId="0" fontId="0" fillId="0" borderId="0" xfId="0" applyBorder="1"/>
    <xf numFmtId="14" fontId="0" fillId="0" borderId="0" xfId="1" quotePrefix="1" applyNumberFormat="1" applyFont="1"/>
    <xf numFmtId="164" fontId="0" fillId="0" borderId="0" xfId="0" applyNumberFormat="1"/>
    <xf numFmtId="43" fontId="2" fillId="0" borderId="0" xfId="1" applyNumberFormat="1" applyFont="1" applyAlignment="1">
      <alignment horizontal="center" wrapText="1"/>
    </xf>
    <xf numFmtId="43" fontId="2" fillId="0" borderId="0" xfId="1" applyFont="1" applyAlignment="1">
      <alignment horizontal="center" wrapText="1"/>
    </xf>
    <xf numFmtId="43" fontId="4" fillId="0" borderId="0" xfId="1" applyNumberFormat="1" applyFont="1"/>
    <xf numFmtId="43" fontId="4" fillId="0" borderId="1" xfId="1" applyNumberFormat="1" applyFont="1" applyBorder="1"/>
    <xf numFmtId="43" fontId="4" fillId="0" borderId="2" xfId="1" applyNumberFormat="1" applyFont="1" applyBorder="1"/>
    <xf numFmtId="43" fontId="4" fillId="0" borderId="3" xfId="1" applyNumberFormat="1" applyFont="1" applyBorder="1"/>
    <xf numFmtId="2" fontId="0" fillId="0" borderId="0" xfId="0" applyNumberFormat="1"/>
    <xf numFmtId="43" fontId="6" fillId="0" borderId="0" xfId="1" applyFont="1" applyAlignment="1">
      <alignment horizontal="center" vertical="center" wrapText="1"/>
    </xf>
    <xf numFmtId="43" fontId="5" fillId="2" borderId="0" xfId="1" applyNumberFormat="1" applyFont="1" applyFill="1"/>
    <xf numFmtId="0" fontId="0" fillId="2" borderId="0" xfId="0" applyFill="1"/>
    <xf numFmtId="43" fontId="2" fillId="2" borderId="0" xfId="1" applyFont="1" applyFill="1" applyAlignment="1">
      <alignment horizontal="center" wrapText="1"/>
    </xf>
    <xf numFmtId="14" fontId="0" fillId="0" borderId="0" xfId="1" quotePrefix="1" applyNumberFormat="1" applyFont="1" applyAlignment="1">
      <alignment horizontal="right"/>
    </xf>
    <xf numFmtId="0" fontId="0" fillId="0" borderId="0" xfId="0" applyFill="1"/>
    <xf numFmtId="43" fontId="0" fillId="0" borderId="0" xfId="1" applyNumberFormat="1" applyFont="1" applyFill="1"/>
    <xf numFmtId="43" fontId="0" fillId="0" borderId="0" xfId="1" applyFont="1" applyFill="1"/>
    <xf numFmtId="43" fontId="2" fillId="0" borderId="0" xfId="1" applyNumberFormat="1" applyFont="1" applyFill="1" applyAlignment="1">
      <alignment horizontal="center" wrapText="1"/>
    </xf>
    <xf numFmtId="43" fontId="2" fillId="0" borderId="0" xfId="1" applyFont="1" applyFill="1" applyAlignment="1">
      <alignment horizontal="center" wrapText="1"/>
    </xf>
    <xf numFmtId="14" fontId="0" fillId="0" borderId="0" xfId="1" quotePrefix="1" applyNumberFormat="1" applyFont="1" applyFill="1"/>
    <xf numFmtId="43" fontId="0" fillId="0" borderId="0" xfId="1" quotePrefix="1" applyNumberFormat="1" applyFont="1" applyFill="1"/>
    <xf numFmtId="43" fontId="0" fillId="0" borderId="1" xfId="1" applyNumberFormat="1" applyFont="1" applyFill="1" applyBorder="1"/>
    <xf numFmtId="43" fontId="0" fillId="0" borderId="2" xfId="1" applyNumberFormat="1" applyFont="1" applyFill="1" applyBorder="1"/>
    <xf numFmtId="43" fontId="0" fillId="0" borderId="0" xfId="1" applyNumberFormat="1" applyFont="1" applyFill="1" applyBorder="1"/>
    <xf numFmtId="0" fontId="0" fillId="0" borderId="0" xfId="0" applyFill="1" applyBorder="1"/>
    <xf numFmtId="164" fontId="0" fillId="0" borderId="0" xfId="0" applyNumberFormat="1" applyFill="1"/>
    <xf numFmtId="43" fontId="0" fillId="0" borderId="3" xfId="1" applyNumberFormat="1" applyFont="1" applyFill="1" applyBorder="1"/>
    <xf numFmtId="43" fontId="3" fillId="0" borderId="0" xfId="1" applyNumberFormat="1" applyFont="1" applyFill="1"/>
    <xf numFmtId="43" fontId="3" fillId="0" borderId="0" xfId="1" applyFont="1" applyFill="1" applyAlignment="1">
      <alignment horizontal="center"/>
    </xf>
    <xf numFmtId="14" fontId="0" fillId="0" borderId="0" xfId="1" quotePrefix="1" applyNumberFormat="1" applyFont="1" applyFill="1" applyAlignment="1">
      <alignment horizontal="center"/>
    </xf>
    <xf numFmtId="43" fontId="0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43" fontId="0" fillId="0" borderId="0" xfId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"/>
  <sheetViews>
    <sheetView topLeftCell="A15" workbookViewId="0">
      <selection activeCell="B4" sqref="B4:B47"/>
    </sheetView>
  </sheetViews>
  <sheetFormatPr defaultColWidth="8.7265625" defaultRowHeight="14.5" x14ac:dyDescent="0.35"/>
  <cols>
    <col min="1" max="1" width="31.81640625" style="23" customWidth="1"/>
    <col min="2" max="2" width="14" style="24" bestFit="1" customWidth="1"/>
    <col min="3" max="3" width="9.1796875" style="23"/>
    <col min="4" max="4" width="14.54296875" style="25" customWidth="1"/>
    <col min="5" max="5" width="9.1796875" style="23"/>
    <col min="6" max="6" width="13.81640625" style="25" customWidth="1"/>
    <col min="7" max="7" width="9.1796875" style="23"/>
    <col min="8" max="8" width="13.81640625" style="25" customWidth="1"/>
    <col min="9" max="16384" width="8.7265625" style="23"/>
  </cols>
  <sheetData>
    <row r="1" spans="1:8" x14ac:dyDescent="0.35">
      <c r="A1" s="23" t="s">
        <v>31</v>
      </c>
    </row>
    <row r="2" spans="1:8" x14ac:dyDescent="0.35">
      <c r="A2" s="23" t="s">
        <v>32</v>
      </c>
      <c r="B2" s="39"/>
      <c r="C2" s="40"/>
      <c r="D2" s="37" t="s">
        <v>42</v>
      </c>
      <c r="E2" s="40"/>
      <c r="F2" s="37" t="s">
        <v>42</v>
      </c>
      <c r="G2" s="40"/>
      <c r="H2" s="41"/>
    </row>
    <row r="3" spans="1:8" ht="29" x14ac:dyDescent="0.35">
      <c r="B3" s="26" t="s">
        <v>43</v>
      </c>
      <c r="C3" s="40"/>
      <c r="D3" s="27" t="s">
        <v>44</v>
      </c>
      <c r="E3" s="40"/>
      <c r="F3" s="27" t="s">
        <v>45</v>
      </c>
      <c r="G3" s="40"/>
      <c r="H3" s="27" t="s">
        <v>46</v>
      </c>
    </row>
    <row r="4" spans="1:8" x14ac:dyDescent="0.35">
      <c r="B4" s="38">
        <v>43861</v>
      </c>
      <c r="C4" s="40"/>
      <c r="D4" s="38">
        <v>43830</v>
      </c>
      <c r="E4" s="40"/>
      <c r="F4" s="38">
        <v>43830</v>
      </c>
      <c r="G4" s="40"/>
      <c r="H4" s="38">
        <v>43496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B7" s="24">
        <f>-1108.22+476.75+15835.27+70.51+123.95+622.19</f>
        <v>16020.450000000003</v>
      </c>
      <c r="D7" s="4">
        <f>-14275.7+481.75+50.01+401.5+15925.27+70.51+123.95+720.53</f>
        <v>3497.8199999999997</v>
      </c>
      <c r="F7" s="4">
        <f>-14275.7+481.75+50.01+401.5+15925.27+70.51+123.95+720.53</f>
        <v>3497.8199999999997</v>
      </c>
      <c r="H7" s="24">
        <f>-8155.64+227.79+309.24+92.32+234.23+402.2+585.78+422.04</f>
        <v>-5882.0400000000018</v>
      </c>
    </row>
    <row r="8" spans="1:8" x14ac:dyDescent="0.35">
      <c r="A8" s="23" t="s">
        <v>2</v>
      </c>
      <c r="B8" s="24">
        <v>294224.59000000003</v>
      </c>
      <c r="D8" s="4">
        <v>180959.76</v>
      </c>
      <c r="F8" s="4">
        <v>180959.76</v>
      </c>
      <c r="H8" s="24">
        <v>42597.97</v>
      </c>
    </row>
    <row r="9" spans="1:8" x14ac:dyDescent="0.35">
      <c r="A9" s="23" t="s">
        <v>10</v>
      </c>
      <c r="B9" s="24">
        <v>11919.05</v>
      </c>
      <c r="D9" s="4">
        <v>10035.25</v>
      </c>
      <c r="F9" s="4">
        <v>10035.25</v>
      </c>
      <c r="H9" s="24">
        <v>9745.16</v>
      </c>
    </row>
    <row r="10" spans="1:8" x14ac:dyDescent="0.35">
      <c r="A10" s="23" t="s">
        <v>3</v>
      </c>
      <c r="B10" s="30">
        <f>3407.2+75887.1</f>
        <v>79294.3</v>
      </c>
      <c r="D10" s="5">
        <f>3407.2+154767.52</f>
        <v>158174.72</v>
      </c>
      <c r="F10" s="5">
        <f>3407.2+154767.52</f>
        <v>158174.72</v>
      </c>
      <c r="H10" s="30">
        <f>3407.2+137384.83</f>
        <v>140792.03</v>
      </c>
    </row>
    <row r="11" spans="1:8" x14ac:dyDescent="0.35">
      <c r="A11" s="23" t="s">
        <v>11</v>
      </c>
      <c r="B11" s="24">
        <f>SUM(B7:B10)</f>
        <v>401458.39</v>
      </c>
      <c r="D11" s="4">
        <f>SUM(D7:D10)</f>
        <v>352667.55000000005</v>
      </c>
      <c r="F11" s="4">
        <f>SUM(F7:F10)</f>
        <v>352667.55000000005</v>
      </c>
      <c r="H11" s="24">
        <f>SUM(H7:H10)</f>
        <v>187253.12</v>
      </c>
    </row>
    <row r="12" spans="1:8" x14ac:dyDescent="0.35">
      <c r="D12" s="4"/>
      <c r="F12" s="4"/>
      <c r="H12" s="24"/>
    </row>
    <row r="13" spans="1:8" x14ac:dyDescent="0.35">
      <c r="A13" s="23" t="s">
        <v>38</v>
      </c>
      <c r="B13" s="24">
        <f>45092.36+18166.08+40630.05</f>
        <v>103888.49</v>
      </c>
      <c r="D13" s="4">
        <f>23166.08+61625.35</f>
        <v>84791.43</v>
      </c>
      <c r="F13" s="4">
        <f>23166.08+61625.35</f>
        <v>84791.43</v>
      </c>
      <c r="H13" s="24">
        <f>41511.05+25037.75+36498.01</f>
        <v>103046.81</v>
      </c>
    </row>
    <row r="14" spans="1:8" x14ac:dyDescent="0.35">
      <c r="D14" s="4"/>
      <c r="F14" s="4"/>
      <c r="H14" s="24"/>
    </row>
    <row r="15" spans="1:8" x14ac:dyDescent="0.35">
      <c r="A15" s="23" t="s">
        <v>4</v>
      </c>
      <c r="B15" s="24">
        <v>7833656.71</v>
      </c>
      <c r="D15" s="13">
        <v>7694874.4500000002</v>
      </c>
      <c r="F15" s="13">
        <v>7694874.4500000002</v>
      </c>
      <c r="H15" s="24">
        <v>7286543.4199999999</v>
      </c>
    </row>
    <row r="16" spans="1:8" x14ac:dyDescent="0.35">
      <c r="A16" s="23" t="s">
        <v>12</v>
      </c>
      <c r="B16" s="30">
        <v>-3261890.68</v>
      </c>
      <c r="D16" s="14">
        <v>-3245118.1</v>
      </c>
      <c r="F16" s="14">
        <v>-3245118.1</v>
      </c>
      <c r="H16" s="30">
        <v>-3059182.52</v>
      </c>
    </row>
    <row r="17" spans="1:8" x14ac:dyDescent="0.35">
      <c r="A17" s="23" t="s">
        <v>13</v>
      </c>
      <c r="B17" s="24">
        <f>+B15+B16</f>
        <v>4571766.0299999993</v>
      </c>
      <c r="D17" s="13">
        <f>+D15+D16</f>
        <v>4449756.3499999996</v>
      </c>
      <c r="F17" s="13">
        <f>+F15+F16</f>
        <v>4449756.3499999996</v>
      </c>
      <c r="H17" s="24">
        <f>+H15+H16</f>
        <v>4227360.9000000004</v>
      </c>
    </row>
    <row r="18" spans="1:8" x14ac:dyDescent="0.35">
      <c r="D18" s="13"/>
      <c r="F18" s="13"/>
      <c r="H18" s="24"/>
    </row>
    <row r="19" spans="1:8" ht="15" thickBot="1" x14ac:dyDescent="0.4">
      <c r="A19" s="23" t="s">
        <v>14</v>
      </c>
      <c r="B19" s="31">
        <f>+B17+B11+B13</f>
        <v>5077112.9099999992</v>
      </c>
      <c r="C19" s="31" t="s">
        <v>47</v>
      </c>
      <c r="D19" s="15">
        <f>+D17+D11+D13</f>
        <v>4887215.3299999991</v>
      </c>
      <c r="E19" s="31" t="s">
        <v>47</v>
      </c>
      <c r="F19" s="15">
        <f>+F17+F11+F13</f>
        <v>4887215.3299999991</v>
      </c>
      <c r="G19" s="31" t="s">
        <v>47</v>
      </c>
      <c r="H19" s="31">
        <f>+H17+H11+H13</f>
        <v>4517660.83</v>
      </c>
    </row>
    <row r="20" spans="1:8" ht="15" thickTop="1" x14ac:dyDescent="0.35">
      <c r="D20" s="4"/>
      <c r="F20" s="4"/>
      <c r="H20" s="24"/>
    </row>
    <row r="21" spans="1:8" x14ac:dyDescent="0.35">
      <c r="A21" s="23" t="s">
        <v>5</v>
      </c>
      <c r="D21" s="4"/>
      <c r="F21" s="4"/>
      <c r="H21" s="24"/>
    </row>
    <row r="22" spans="1:8" x14ac:dyDescent="0.35">
      <c r="A22" s="23" t="s">
        <v>15</v>
      </c>
      <c r="D22" s="4"/>
      <c r="F22" s="4"/>
      <c r="H22" s="24"/>
    </row>
    <row r="23" spans="1:8" x14ac:dyDescent="0.35">
      <c r="A23" s="23" t="s">
        <v>6</v>
      </c>
      <c r="D23" s="4"/>
      <c r="F23" s="4"/>
      <c r="H23" s="24"/>
    </row>
    <row r="24" spans="1:8" x14ac:dyDescent="0.35">
      <c r="A24" s="23" t="s">
        <v>7</v>
      </c>
      <c r="B24" s="24">
        <v>524185.71</v>
      </c>
      <c r="D24" s="4">
        <v>391087.13</v>
      </c>
      <c r="F24" s="4">
        <v>391087.13</v>
      </c>
      <c r="H24" s="24">
        <v>89940.75</v>
      </c>
    </row>
    <row r="25" spans="1:8" x14ac:dyDescent="0.35">
      <c r="A25" s="23" t="s">
        <v>16</v>
      </c>
      <c r="B25" s="24">
        <f>6675.17+346.73</f>
        <v>7021.9</v>
      </c>
      <c r="D25" s="4">
        <v>8173.97</v>
      </c>
      <c r="F25" s="4">
        <v>8173.97</v>
      </c>
      <c r="H25" s="24">
        <v>11241.86</v>
      </c>
    </row>
    <row r="26" spans="1:8" x14ac:dyDescent="0.35">
      <c r="A26" s="23" t="s">
        <v>17</v>
      </c>
      <c r="B26" s="24">
        <v>2391.86</v>
      </c>
      <c r="D26" s="4">
        <v>3071.87</v>
      </c>
      <c r="F26" s="4">
        <v>3071.87</v>
      </c>
      <c r="H26" s="24">
        <v>1348.54</v>
      </c>
    </row>
    <row r="27" spans="1:8" x14ac:dyDescent="0.35">
      <c r="A27" s="23" t="s">
        <v>18</v>
      </c>
      <c r="B27" s="24">
        <v>29099.83</v>
      </c>
      <c r="D27" s="4">
        <v>46449.46</v>
      </c>
      <c r="F27" s="4">
        <v>46449.46</v>
      </c>
      <c r="H27" s="24">
        <v>38777.07</v>
      </c>
    </row>
    <row r="28" spans="1:8" x14ac:dyDescent="0.35">
      <c r="A28" s="23" t="s">
        <v>39</v>
      </c>
      <c r="B28" s="24">
        <v>92098.17</v>
      </c>
      <c r="D28" s="4">
        <v>93098.17</v>
      </c>
      <c r="F28" s="4">
        <v>93098.17</v>
      </c>
      <c r="H28" s="24">
        <v>50884.4</v>
      </c>
    </row>
    <row r="29" spans="1:8" x14ac:dyDescent="0.35">
      <c r="A29" s="23" t="s">
        <v>21</v>
      </c>
      <c r="B29" s="30">
        <v>42150.400000000001</v>
      </c>
      <c r="D29" s="5">
        <v>42005.72</v>
      </c>
      <c r="F29" s="5">
        <v>42005.72</v>
      </c>
      <c r="H29" s="30">
        <v>40522.269999999997</v>
      </c>
    </row>
    <row r="30" spans="1:8" x14ac:dyDescent="0.35">
      <c r="A30" s="23" t="s">
        <v>20</v>
      </c>
      <c r="B30" s="24">
        <f>SUM(B24:B29)</f>
        <v>696947.87</v>
      </c>
      <c r="D30" s="4">
        <f>SUM(D24:D29)</f>
        <v>583886.31999999995</v>
      </c>
      <c r="F30" s="4">
        <f>SUM(F24:F29)</f>
        <v>583886.31999999995</v>
      </c>
      <c r="H30" s="24">
        <f>SUM(H24:H29)</f>
        <v>232714.88999999998</v>
      </c>
    </row>
    <row r="31" spans="1:8" x14ac:dyDescent="0.35">
      <c r="D31" s="4"/>
      <c r="F31" s="4"/>
      <c r="H31" s="24"/>
    </row>
    <row r="32" spans="1:8" x14ac:dyDescent="0.35">
      <c r="A32" s="23" t="s">
        <v>19</v>
      </c>
      <c r="B32" s="32">
        <v>160296.93</v>
      </c>
      <c r="C32" s="33"/>
      <c r="D32" s="7">
        <v>172644.21</v>
      </c>
      <c r="E32" s="33"/>
      <c r="F32" s="7">
        <v>172644.21</v>
      </c>
      <c r="G32" s="33"/>
      <c r="H32" s="32">
        <v>124062.78</v>
      </c>
    </row>
    <row r="33" spans="1:8" x14ac:dyDescent="0.35">
      <c r="D33" s="4"/>
      <c r="F33" s="4"/>
      <c r="H33" s="24"/>
    </row>
    <row r="34" spans="1:8" x14ac:dyDescent="0.35">
      <c r="A34" s="23" t="s">
        <v>22</v>
      </c>
      <c r="D34" s="4"/>
      <c r="F34" s="4"/>
      <c r="H34" s="24"/>
    </row>
    <row r="35" spans="1:8" x14ac:dyDescent="0.35">
      <c r="A35" s="23" t="s">
        <v>23</v>
      </c>
      <c r="B35" s="24">
        <f>385244.87+42150.4</f>
        <v>427395.27</v>
      </c>
      <c r="D35" s="4">
        <f>388257.28+42005.72</f>
        <v>430263</v>
      </c>
      <c r="F35" s="4">
        <f>388257.28+42005.72</f>
        <v>430263</v>
      </c>
      <c r="H35" s="24">
        <f>419438.07+40522.27</f>
        <v>459960.34</v>
      </c>
    </row>
    <row r="36" spans="1:8" x14ac:dyDescent="0.35">
      <c r="A36" s="23" t="s">
        <v>24</v>
      </c>
      <c r="B36" s="30">
        <v>-42150.400000000001</v>
      </c>
      <c r="D36" s="5">
        <f>-D29</f>
        <v>-42005.72</v>
      </c>
      <c r="E36" s="34"/>
      <c r="F36" s="5">
        <f>-F29</f>
        <v>-42005.72</v>
      </c>
      <c r="G36" s="34"/>
      <c r="H36" s="30">
        <f>-H29</f>
        <v>-40522.269999999997</v>
      </c>
    </row>
    <row r="37" spans="1:8" x14ac:dyDescent="0.35">
      <c r="A37" s="23" t="s">
        <v>25</v>
      </c>
      <c r="B37" s="35">
        <f>+B35+B36</f>
        <v>385244.87</v>
      </c>
      <c r="D37" s="6">
        <f>+D35+D36</f>
        <v>388257.28000000003</v>
      </c>
      <c r="F37" s="6">
        <f>+F35+F36</f>
        <v>388257.28000000003</v>
      </c>
      <c r="H37" s="35">
        <f>+H35+H36</f>
        <v>419438.07</v>
      </c>
    </row>
    <row r="38" spans="1:8" x14ac:dyDescent="0.35">
      <c r="D38" s="4"/>
      <c r="F38" s="4"/>
      <c r="H38" s="24"/>
    </row>
    <row r="39" spans="1:8" x14ac:dyDescent="0.35">
      <c r="A39" s="23" t="s">
        <v>8</v>
      </c>
      <c r="B39" s="24">
        <f>+B37+B32+B30</f>
        <v>1242489.67</v>
      </c>
      <c r="D39" s="4">
        <f>+D37+D32+D30</f>
        <v>1144787.81</v>
      </c>
      <c r="F39" s="4">
        <f>+F37+F32+F30</f>
        <v>1144787.81</v>
      </c>
      <c r="H39" s="24">
        <f>+H37+H32+H30</f>
        <v>776215.74</v>
      </c>
    </row>
    <row r="40" spans="1:8" x14ac:dyDescent="0.35">
      <c r="D40" s="4"/>
      <c r="F40" s="4"/>
      <c r="H40" s="24"/>
    </row>
    <row r="41" spans="1:8" x14ac:dyDescent="0.35">
      <c r="A41" s="23" t="s">
        <v>26</v>
      </c>
      <c r="D41" s="4"/>
      <c r="F41" s="4"/>
      <c r="H41" s="24"/>
    </row>
    <row r="42" spans="1:8" x14ac:dyDescent="0.35">
      <c r="A42" s="23" t="s">
        <v>27</v>
      </c>
      <c r="B42" s="24">
        <v>2447245.86</v>
      </c>
      <c r="D42" s="13">
        <v>2447245.86</v>
      </c>
      <c r="F42" s="13">
        <v>2447245.86</v>
      </c>
      <c r="H42" s="24">
        <v>2447245.86</v>
      </c>
    </row>
    <row r="43" spans="1:8" x14ac:dyDescent="0.35">
      <c r="A43" s="23" t="s">
        <v>28</v>
      </c>
      <c r="B43" s="24">
        <v>1309260.3</v>
      </c>
      <c r="D43" s="13">
        <v>1486338.08</v>
      </c>
      <c r="F43" s="13">
        <v>1486338.08</v>
      </c>
      <c r="H43" s="24">
        <v>1369709.5</v>
      </c>
    </row>
    <row r="44" spans="1:8" x14ac:dyDescent="0.35">
      <c r="A44" s="23" t="s">
        <v>33</v>
      </c>
      <c r="B44" s="30">
        <v>78117.08</v>
      </c>
      <c r="D44" s="14">
        <v>-191156.42</v>
      </c>
      <c r="F44" s="14">
        <v>-191156.42</v>
      </c>
      <c r="H44" s="30">
        <v>-75510.27</v>
      </c>
    </row>
    <row r="45" spans="1:8" x14ac:dyDescent="0.35">
      <c r="A45" s="23" t="s">
        <v>29</v>
      </c>
      <c r="B45" s="35">
        <f>+B42+B43+B44</f>
        <v>3834623.24</v>
      </c>
      <c r="D45" s="16">
        <f>+D42+D43+D44</f>
        <v>3742427.52</v>
      </c>
      <c r="F45" s="16">
        <f>+F42+F43+F44</f>
        <v>3742427.52</v>
      </c>
      <c r="H45" s="35">
        <f>+H42+H43+H44</f>
        <v>3741445.09</v>
      </c>
    </row>
    <row r="46" spans="1:8" x14ac:dyDescent="0.35">
      <c r="D46" s="13"/>
      <c r="F46" s="13"/>
      <c r="H46" s="24"/>
    </row>
    <row r="47" spans="1:8" ht="15" thickBot="1" x14ac:dyDescent="0.4">
      <c r="A47" s="23" t="s">
        <v>30</v>
      </c>
      <c r="B47" s="31">
        <f>+B45+B39</f>
        <v>5077112.91</v>
      </c>
      <c r="D47" s="15">
        <f>D45+D39</f>
        <v>4887215.33</v>
      </c>
      <c r="F47" s="15">
        <f>F45+F39</f>
        <v>4887215.33</v>
      </c>
      <c r="H47" s="31">
        <f>+H45+H39</f>
        <v>4517660.83</v>
      </c>
    </row>
    <row r="48" spans="1:8" ht="15" thickTop="1" x14ac:dyDescent="0.35"/>
  </sheetData>
  <pageMargins left="0.7" right="0.7" top="0.75" bottom="0.75" header="0.3" footer="0.3"/>
  <pageSetup scale="7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48"/>
  <sheetViews>
    <sheetView workbookViewId="0">
      <selection activeCell="H4" sqref="H4:H47"/>
    </sheetView>
  </sheetViews>
  <sheetFormatPr defaultColWidth="9.1796875" defaultRowHeight="14.5" x14ac:dyDescent="0.35"/>
  <cols>
    <col min="1" max="1" width="31.81640625" style="23" customWidth="1"/>
    <col min="2" max="2" width="18.54296875" style="24" bestFit="1" customWidth="1"/>
    <col min="3" max="3" width="9.1796875" style="23"/>
    <col min="4" max="4" width="14.54296875" style="25" customWidth="1"/>
    <col min="5" max="5" width="9.1796875" style="23"/>
    <col min="6" max="6" width="13.81640625" style="25" customWidth="1"/>
    <col min="7" max="7" width="9.1796875" style="23"/>
    <col min="8" max="8" width="13.81640625" style="25" customWidth="1"/>
    <col min="9" max="16384" width="9.1796875" style="23"/>
  </cols>
  <sheetData>
    <row r="1" spans="1:8" x14ac:dyDescent="0.35">
      <c r="A1" s="23" t="s">
        <v>31</v>
      </c>
    </row>
    <row r="2" spans="1:8" x14ac:dyDescent="0.35">
      <c r="A2" s="23" t="s">
        <v>32</v>
      </c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43404</v>
      </c>
      <c r="D4" s="28">
        <v>43373</v>
      </c>
      <c r="F4" s="28">
        <v>43830</v>
      </c>
      <c r="H4" s="28">
        <v>43769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D7" s="24"/>
      <c r="F7" s="4">
        <f>-14275.7+481.75+50.01+401.5+15925.27+70.51+123.95+720.53</f>
        <v>3497.8199999999997</v>
      </c>
      <c r="H7" s="24">
        <f>74638.04+295.55+60.01+16195.27+66.21+190.68+749.46+416.29</f>
        <v>92611.51</v>
      </c>
    </row>
    <row r="8" spans="1:8" x14ac:dyDescent="0.35">
      <c r="A8" s="23" t="s">
        <v>2</v>
      </c>
      <c r="D8" s="24"/>
      <c r="F8" s="4">
        <v>180959.76</v>
      </c>
      <c r="H8" s="24">
        <v>168815.04</v>
      </c>
    </row>
    <row r="9" spans="1:8" x14ac:dyDescent="0.35">
      <c r="A9" s="23" t="s">
        <v>10</v>
      </c>
      <c r="D9" s="24"/>
      <c r="F9" s="4">
        <v>10035.25</v>
      </c>
      <c r="H9" s="24">
        <f>10378.14-52.02</f>
        <v>10326.119999999999</v>
      </c>
    </row>
    <row r="10" spans="1:8" x14ac:dyDescent="0.35">
      <c r="A10" s="23" t="s">
        <v>3</v>
      </c>
      <c r="B10" s="30"/>
      <c r="D10" s="30"/>
      <c r="F10" s="5">
        <f>3407.2+154767.52</f>
        <v>158174.72</v>
      </c>
      <c r="H10" s="30">
        <f>3407.2+128894.69</f>
        <v>132301.89000000001</v>
      </c>
    </row>
    <row r="11" spans="1:8" x14ac:dyDescent="0.35">
      <c r="A11" s="23" t="s">
        <v>11</v>
      </c>
      <c r="B11" s="24">
        <f>SUM(B7:B10)</f>
        <v>0</v>
      </c>
      <c r="D11" s="24">
        <f>SUM(D7:D10)</f>
        <v>0</v>
      </c>
      <c r="F11" s="4">
        <f>SUM(F7:F10)</f>
        <v>352667.55000000005</v>
      </c>
      <c r="H11" s="24">
        <f>SUM(H7:H10)</f>
        <v>404054.56</v>
      </c>
    </row>
    <row r="12" spans="1:8" x14ac:dyDescent="0.35">
      <c r="D12" s="24"/>
      <c r="F12" s="4"/>
      <c r="H12" s="24"/>
    </row>
    <row r="13" spans="1:8" x14ac:dyDescent="0.35">
      <c r="A13" s="23" t="s">
        <v>38</v>
      </c>
      <c r="D13" s="24"/>
      <c r="F13" s="4">
        <f>23166.08+61625.35</f>
        <v>84791.43</v>
      </c>
      <c r="H13" s="24">
        <f>610.26+73369.08+37020.88</f>
        <v>111000.22</v>
      </c>
    </row>
    <row r="14" spans="1:8" x14ac:dyDescent="0.35">
      <c r="D14" s="24"/>
      <c r="F14" s="4"/>
      <c r="H14" s="24"/>
    </row>
    <row r="15" spans="1:8" x14ac:dyDescent="0.35">
      <c r="A15" s="23" t="s">
        <v>4</v>
      </c>
      <c r="D15" s="24"/>
      <c r="F15" s="13">
        <v>7694874.4500000002</v>
      </c>
      <c r="H15" s="24">
        <v>7488510.6600000001</v>
      </c>
    </row>
    <row r="16" spans="1:8" x14ac:dyDescent="0.35">
      <c r="A16" s="23" t="s">
        <v>12</v>
      </c>
      <c r="B16" s="30"/>
      <c r="D16" s="30"/>
      <c r="F16" s="14">
        <v>-3245118.1</v>
      </c>
      <c r="H16" s="30">
        <v>-3229331.3</v>
      </c>
    </row>
    <row r="17" spans="1:8" x14ac:dyDescent="0.35">
      <c r="A17" s="23" t="s">
        <v>13</v>
      </c>
      <c r="B17" s="24">
        <f>+B15+B16</f>
        <v>0</v>
      </c>
      <c r="D17" s="24">
        <f>+D15+D16</f>
        <v>0</v>
      </c>
      <c r="F17" s="13">
        <f>+F15+F16</f>
        <v>4449756.3499999996</v>
      </c>
      <c r="H17" s="24">
        <f>+H15+H16</f>
        <v>4259179.3600000003</v>
      </c>
    </row>
    <row r="18" spans="1:8" x14ac:dyDescent="0.35"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0</v>
      </c>
      <c r="D19" s="31">
        <f>+D17+D11+D13</f>
        <v>0</v>
      </c>
      <c r="F19" s="15">
        <f>+F17+F11+F13</f>
        <v>4887215.3299999991</v>
      </c>
      <c r="H19" s="31">
        <f>+H17+H11+H13</f>
        <v>4774234.1399999997</v>
      </c>
    </row>
    <row r="20" spans="1:8" ht="15" thickTop="1" x14ac:dyDescent="0.35">
      <c r="D20" s="24"/>
      <c r="F20" s="4"/>
      <c r="H20" s="24"/>
    </row>
    <row r="21" spans="1:8" x14ac:dyDescent="0.35">
      <c r="A21" s="23" t="s">
        <v>5</v>
      </c>
      <c r="D21" s="24"/>
      <c r="F21" s="4"/>
      <c r="H21" s="24"/>
    </row>
    <row r="22" spans="1:8" x14ac:dyDescent="0.35">
      <c r="A22" s="23" t="s">
        <v>15</v>
      </c>
      <c r="D22" s="24"/>
      <c r="F22" s="4"/>
      <c r="H22" s="24"/>
    </row>
    <row r="23" spans="1:8" x14ac:dyDescent="0.35">
      <c r="A23" s="23" t="s">
        <v>6</v>
      </c>
      <c r="D23" s="24"/>
      <c r="F23" s="4"/>
      <c r="H23" s="24"/>
    </row>
    <row r="24" spans="1:8" x14ac:dyDescent="0.35">
      <c r="A24" s="23" t="s">
        <v>7</v>
      </c>
      <c r="D24" s="24"/>
      <c r="F24" s="4">
        <v>391087.13</v>
      </c>
      <c r="H24" s="24">
        <v>277421.52</v>
      </c>
    </row>
    <row r="25" spans="1:8" x14ac:dyDescent="0.35">
      <c r="A25" s="23" t="s">
        <v>16</v>
      </c>
      <c r="D25" s="24"/>
      <c r="F25" s="4">
        <v>8173.97</v>
      </c>
      <c r="H25" s="24">
        <f>731.21+448.71+28.74+483.04+346.23+4310.03+1007.92+4257.08+775.14+874.11</f>
        <v>13262.21</v>
      </c>
    </row>
    <row r="26" spans="1:8" x14ac:dyDescent="0.35">
      <c r="A26" s="23" t="s">
        <v>17</v>
      </c>
      <c r="D26" s="24"/>
      <c r="F26" s="4">
        <v>3071.87</v>
      </c>
      <c r="H26" s="24">
        <v>2196.83</v>
      </c>
    </row>
    <row r="27" spans="1:8" x14ac:dyDescent="0.35">
      <c r="A27" s="23" t="s">
        <v>18</v>
      </c>
      <c r="D27" s="24"/>
      <c r="F27" s="4">
        <v>46449.46</v>
      </c>
      <c r="H27" s="24">
        <v>39760.68</v>
      </c>
    </row>
    <row r="28" spans="1:8" x14ac:dyDescent="0.35">
      <c r="A28" s="23" t="s">
        <v>39</v>
      </c>
      <c r="D28" s="24"/>
      <c r="F28" s="4">
        <v>93098.17</v>
      </c>
      <c r="H28" s="24">
        <v>94159.4</v>
      </c>
    </row>
    <row r="29" spans="1:8" x14ac:dyDescent="0.35">
      <c r="A29" s="23" t="s">
        <v>21</v>
      </c>
      <c r="B29" s="30"/>
      <c r="D29" s="30"/>
      <c r="F29" s="5">
        <v>42005.72</v>
      </c>
      <c r="H29" s="30">
        <v>41722.46</v>
      </c>
    </row>
    <row r="30" spans="1:8" x14ac:dyDescent="0.35">
      <c r="A30" s="23" t="s">
        <v>20</v>
      </c>
      <c r="B30" s="24">
        <f>SUM(B24:B29)</f>
        <v>0</v>
      </c>
      <c r="D30" s="24">
        <f>SUM(D24:D29)</f>
        <v>0</v>
      </c>
      <c r="F30" s="4">
        <f>SUM(F24:F29)</f>
        <v>583886.31999999995</v>
      </c>
      <c r="H30" s="24">
        <f>SUM(H24:H29)</f>
        <v>468523.10000000003</v>
      </c>
    </row>
    <row r="31" spans="1:8" x14ac:dyDescent="0.35">
      <c r="D31" s="24"/>
      <c r="F31" s="4"/>
      <c r="H31" s="24"/>
    </row>
    <row r="32" spans="1:8" x14ac:dyDescent="0.35">
      <c r="A32" s="23" t="s">
        <v>19</v>
      </c>
      <c r="B32" s="32"/>
      <c r="C32" s="33"/>
      <c r="D32" s="32"/>
      <c r="E32" s="33"/>
      <c r="F32" s="7">
        <v>172644.21</v>
      </c>
      <c r="G32" s="33"/>
      <c r="H32" s="32">
        <v>186765.03</v>
      </c>
    </row>
    <row r="33" spans="1:8" x14ac:dyDescent="0.35">
      <c r="D33" s="24"/>
      <c r="F33" s="4"/>
      <c r="H33" s="24"/>
    </row>
    <row r="34" spans="1:8" x14ac:dyDescent="0.35">
      <c r="A34" s="23" t="s">
        <v>22</v>
      </c>
      <c r="D34" s="24"/>
      <c r="F34" s="4"/>
      <c r="H34" s="24"/>
    </row>
    <row r="35" spans="1:8" x14ac:dyDescent="0.35">
      <c r="A35" s="23" t="s">
        <v>23</v>
      </c>
      <c r="D35" s="24"/>
      <c r="F35" s="4">
        <f>388257.28+42005.72</f>
        <v>430263</v>
      </c>
      <c r="H35" s="24">
        <f>391449.81+41722.46</f>
        <v>433172.27</v>
      </c>
    </row>
    <row r="36" spans="1:8" x14ac:dyDescent="0.35">
      <c r="A36" s="23" t="s">
        <v>24</v>
      </c>
      <c r="B36" s="30">
        <f>-B29</f>
        <v>0</v>
      </c>
      <c r="D36" s="30">
        <f>-D29</f>
        <v>0</v>
      </c>
      <c r="E36" s="34"/>
      <c r="F36" s="5">
        <f>-F29</f>
        <v>-42005.72</v>
      </c>
      <c r="G36" s="34"/>
      <c r="H36" s="30">
        <f>-H29</f>
        <v>-41722.46</v>
      </c>
    </row>
    <row r="37" spans="1:8" x14ac:dyDescent="0.35">
      <c r="A37" s="23" t="s">
        <v>25</v>
      </c>
      <c r="B37" s="35">
        <f>+B35+B36</f>
        <v>0</v>
      </c>
      <c r="D37" s="35">
        <f>+D35+D36</f>
        <v>0</v>
      </c>
      <c r="F37" s="6">
        <f>+F35+F36</f>
        <v>388257.28000000003</v>
      </c>
      <c r="H37" s="35">
        <f>+H35+H36</f>
        <v>391449.81</v>
      </c>
    </row>
    <row r="38" spans="1:8" x14ac:dyDescent="0.35">
      <c r="D38" s="24"/>
      <c r="F38" s="4"/>
      <c r="H38" s="24"/>
    </row>
    <row r="39" spans="1:8" x14ac:dyDescent="0.35">
      <c r="A39" s="23" t="s">
        <v>8</v>
      </c>
      <c r="B39" s="24">
        <f>+B37+B32+B30</f>
        <v>0</v>
      </c>
      <c r="D39" s="24">
        <f>+D37+D32+D30</f>
        <v>0</v>
      </c>
      <c r="F39" s="4">
        <f>+F37+F32+F30</f>
        <v>1144787.81</v>
      </c>
      <c r="H39" s="24">
        <f>+H37+H32+H30</f>
        <v>1046737.94</v>
      </c>
    </row>
    <row r="40" spans="1:8" x14ac:dyDescent="0.35">
      <c r="D40" s="24"/>
      <c r="F40" s="4"/>
      <c r="H40" s="24"/>
    </row>
    <row r="41" spans="1:8" x14ac:dyDescent="0.35">
      <c r="A41" s="23" t="s">
        <v>26</v>
      </c>
      <c r="D41" s="24"/>
      <c r="F41" s="4"/>
      <c r="H41" s="24"/>
    </row>
    <row r="42" spans="1:8" x14ac:dyDescent="0.35">
      <c r="A42" s="23" t="s">
        <v>27</v>
      </c>
      <c r="D42" s="24"/>
      <c r="F42" s="13">
        <v>2447245.86</v>
      </c>
      <c r="H42" s="24">
        <v>2447245.86</v>
      </c>
    </row>
    <row r="43" spans="1:8" x14ac:dyDescent="0.35">
      <c r="A43" s="23" t="s">
        <v>28</v>
      </c>
      <c r="D43" s="24"/>
      <c r="F43" s="13">
        <v>1486338.08</v>
      </c>
      <c r="H43" s="24">
        <v>1369517.33</v>
      </c>
    </row>
    <row r="44" spans="1:8" x14ac:dyDescent="0.35">
      <c r="A44" s="23" t="s">
        <v>33</v>
      </c>
      <c r="B44" s="30"/>
      <c r="D44" s="30"/>
      <c r="F44" s="14">
        <v>-191156.42</v>
      </c>
      <c r="H44" s="30">
        <v>-89266.99</v>
      </c>
    </row>
    <row r="45" spans="1:8" x14ac:dyDescent="0.35">
      <c r="A45" s="23" t="s">
        <v>29</v>
      </c>
      <c r="B45" s="35">
        <f>+B42+B43+B44</f>
        <v>0</v>
      </c>
      <c r="D45" s="35">
        <f>+D42+D43+D44</f>
        <v>0</v>
      </c>
      <c r="F45" s="16">
        <f>+F42+F43+F44</f>
        <v>3742427.52</v>
      </c>
      <c r="H45" s="35">
        <f>+H42+H43+H44</f>
        <v>3727496.1999999997</v>
      </c>
    </row>
    <row r="46" spans="1:8" x14ac:dyDescent="0.35">
      <c r="D46" s="24"/>
      <c r="F46" s="13"/>
      <c r="H46" s="24"/>
    </row>
    <row r="47" spans="1:8" ht="15" thickBot="1" x14ac:dyDescent="0.4">
      <c r="A47" s="23" t="s">
        <v>30</v>
      </c>
      <c r="B47" s="31">
        <f>B45+B39</f>
        <v>0</v>
      </c>
      <c r="D47" s="31">
        <f>D45+D39</f>
        <v>0</v>
      </c>
      <c r="F47" s="15">
        <f>F45+F39</f>
        <v>4887215.33</v>
      </c>
      <c r="H47" s="31">
        <f>H45+H39</f>
        <v>4774234.1399999997</v>
      </c>
    </row>
    <row r="48" spans="1:8" ht="15" thickTop="1" x14ac:dyDescent="0.35"/>
  </sheetData>
  <pageMargins left="0.7" right="0.7" top="0.75" bottom="0.75" header="0.3" footer="0.3"/>
  <pageSetup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48"/>
  <sheetViews>
    <sheetView workbookViewId="0">
      <selection activeCell="H4" sqref="H4:H47"/>
    </sheetView>
  </sheetViews>
  <sheetFormatPr defaultColWidth="9.1796875" defaultRowHeight="14.5" x14ac:dyDescent="0.35"/>
  <cols>
    <col min="1" max="1" width="31.81640625" style="23" customWidth="1"/>
    <col min="2" max="2" width="18.54296875" style="24" bestFit="1" customWidth="1"/>
    <col min="3" max="3" width="9.1796875" style="23"/>
    <col min="4" max="4" width="14.54296875" style="25" customWidth="1"/>
    <col min="5" max="5" width="9.1796875" style="23"/>
    <col min="6" max="6" width="13.81640625" style="25" customWidth="1"/>
    <col min="7" max="7" width="9.1796875" style="23"/>
    <col min="8" max="8" width="13.81640625" style="25" customWidth="1"/>
    <col min="9" max="16384" width="9.1796875" style="23"/>
  </cols>
  <sheetData>
    <row r="1" spans="1:8" x14ac:dyDescent="0.35">
      <c r="A1" s="23" t="s">
        <v>31</v>
      </c>
    </row>
    <row r="2" spans="1:8" x14ac:dyDescent="0.35">
      <c r="A2" s="23" t="s">
        <v>32</v>
      </c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43434</v>
      </c>
      <c r="D4" s="28">
        <v>43404</v>
      </c>
      <c r="F4" s="28">
        <v>43830</v>
      </c>
      <c r="H4" s="28">
        <v>43799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D7" s="24"/>
      <c r="F7" s="4">
        <f>-14275.7+481.75+50.01+401.5+15925.27+70.51+123.95+720.53</f>
        <v>3497.8199999999997</v>
      </c>
      <c r="H7" s="24">
        <f>18535.55+190.55+60.01+16015.27+41.21+212.48+720.53+174.58</f>
        <v>35950.18</v>
      </c>
    </row>
    <row r="8" spans="1:8" x14ac:dyDescent="0.35">
      <c r="A8" s="23" t="s">
        <v>2</v>
      </c>
      <c r="D8" s="24"/>
      <c r="F8" s="4">
        <v>180959.76</v>
      </c>
      <c r="H8" s="24">
        <v>178355.92</v>
      </c>
    </row>
    <row r="9" spans="1:8" x14ac:dyDescent="0.35">
      <c r="A9" s="23" t="s">
        <v>10</v>
      </c>
      <c r="D9" s="24"/>
      <c r="F9" s="4">
        <v>10035.25</v>
      </c>
      <c r="H9" s="24">
        <v>11970.71</v>
      </c>
    </row>
    <row r="10" spans="1:8" x14ac:dyDescent="0.35">
      <c r="A10" s="23" t="s">
        <v>3</v>
      </c>
      <c r="B10" s="30"/>
      <c r="D10" s="30"/>
      <c r="F10" s="5">
        <f>3407.2+154767.52</f>
        <v>158174.72</v>
      </c>
      <c r="H10" s="30">
        <f>3407.2+163694.1</f>
        <v>167101.30000000002</v>
      </c>
    </row>
    <row r="11" spans="1:8" x14ac:dyDescent="0.35">
      <c r="A11" s="23" t="s">
        <v>11</v>
      </c>
      <c r="B11" s="24">
        <f>SUM(B7:B10)</f>
        <v>0</v>
      </c>
      <c r="D11" s="24">
        <f>SUM(D7:D10)</f>
        <v>0</v>
      </c>
      <c r="F11" s="4">
        <f>SUM(F7:F10)</f>
        <v>352667.55000000005</v>
      </c>
      <c r="H11" s="24">
        <f>SUM(H7:H10)</f>
        <v>393378.11</v>
      </c>
    </row>
    <row r="12" spans="1:8" x14ac:dyDescent="0.35">
      <c r="D12" s="24"/>
      <c r="F12" s="4"/>
      <c r="H12" s="24"/>
    </row>
    <row r="13" spans="1:8" x14ac:dyDescent="0.35">
      <c r="A13" s="23" t="s">
        <v>38</v>
      </c>
      <c r="D13" s="24"/>
      <c r="F13" s="4">
        <f>23166.08+61625.35</f>
        <v>84791.43</v>
      </c>
      <c r="H13" s="24">
        <f>430.27+44166.08+61605.92</f>
        <v>106202.26999999999</v>
      </c>
    </row>
    <row r="14" spans="1:8" x14ac:dyDescent="0.35">
      <c r="D14" s="24"/>
      <c r="F14" s="4"/>
      <c r="H14" s="24"/>
    </row>
    <row r="15" spans="1:8" x14ac:dyDescent="0.35">
      <c r="A15" s="23" t="s">
        <v>4</v>
      </c>
      <c r="D15" s="24"/>
      <c r="F15" s="13">
        <v>7694874.4500000002</v>
      </c>
      <c r="H15" s="24">
        <v>7600812.4800000004</v>
      </c>
    </row>
    <row r="16" spans="1:8" x14ac:dyDescent="0.35">
      <c r="A16" s="23" t="s">
        <v>12</v>
      </c>
      <c r="B16" s="30"/>
      <c r="D16" s="30"/>
      <c r="F16" s="14">
        <v>-3245118.1</v>
      </c>
      <c r="H16" s="30">
        <v>-3226212.68</v>
      </c>
    </row>
    <row r="17" spans="1:8" x14ac:dyDescent="0.35">
      <c r="A17" s="23" t="s">
        <v>13</v>
      </c>
      <c r="B17" s="24">
        <f>+B15+B16</f>
        <v>0</v>
      </c>
      <c r="D17" s="24">
        <f>+D15+D16</f>
        <v>0</v>
      </c>
      <c r="F17" s="13">
        <f>+F15+F16</f>
        <v>4449756.3499999996</v>
      </c>
      <c r="H17" s="24">
        <f>+H15+H16</f>
        <v>4374599.8000000007</v>
      </c>
    </row>
    <row r="18" spans="1:8" x14ac:dyDescent="0.35"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0</v>
      </c>
      <c r="D19" s="31">
        <f>+D17+D11+D13</f>
        <v>0</v>
      </c>
      <c r="F19" s="15">
        <f>+F17+F11+F13</f>
        <v>4887215.3299999991</v>
      </c>
      <c r="H19" s="31">
        <f>+H17+H11+H13</f>
        <v>4874180.1800000006</v>
      </c>
    </row>
    <row r="20" spans="1:8" ht="15" thickTop="1" x14ac:dyDescent="0.35">
      <c r="D20" s="24"/>
      <c r="F20" s="4"/>
      <c r="H20" s="24"/>
    </row>
    <row r="21" spans="1:8" x14ac:dyDescent="0.35">
      <c r="A21" s="23" t="s">
        <v>5</v>
      </c>
      <c r="D21" s="24"/>
      <c r="F21" s="4"/>
      <c r="H21" s="24"/>
    </row>
    <row r="22" spans="1:8" x14ac:dyDescent="0.35">
      <c r="A22" s="23" t="s">
        <v>15</v>
      </c>
      <c r="D22" s="24"/>
      <c r="F22" s="4"/>
      <c r="H22" s="24"/>
    </row>
    <row r="23" spans="1:8" x14ac:dyDescent="0.35">
      <c r="A23" s="23" t="s">
        <v>6</v>
      </c>
      <c r="D23" s="24"/>
      <c r="F23" s="4"/>
      <c r="H23" s="24"/>
    </row>
    <row r="24" spans="1:8" x14ac:dyDescent="0.35">
      <c r="A24" s="23" t="s">
        <v>7</v>
      </c>
      <c r="D24" s="24"/>
      <c r="F24" s="4">
        <v>391087.13</v>
      </c>
      <c r="H24" s="24">
        <v>303681.06</v>
      </c>
    </row>
    <row r="25" spans="1:8" x14ac:dyDescent="0.35">
      <c r="A25" s="23" t="s">
        <v>16</v>
      </c>
      <c r="D25" s="24"/>
      <c r="F25" s="4">
        <v>8173.97</v>
      </c>
      <c r="H25" s="24">
        <f>5615.2+59.91</f>
        <v>5675.11</v>
      </c>
    </row>
    <row r="26" spans="1:8" x14ac:dyDescent="0.35">
      <c r="A26" s="23" t="s">
        <v>17</v>
      </c>
      <c r="D26" s="24"/>
      <c r="F26" s="4">
        <v>3071.87</v>
      </c>
      <c r="H26" s="24">
        <v>2252.4299999999998</v>
      </c>
    </row>
    <row r="27" spans="1:8" x14ac:dyDescent="0.35">
      <c r="A27" s="23" t="s">
        <v>18</v>
      </c>
      <c r="D27" s="24"/>
      <c r="F27" s="4">
        <v>46449.46</v>
      </c>
      <c r="H27" s="24">
        <v>44964.15</v>
      </c>
    </row>
    <row r="28" spans="1:8" x14ac:dyDescent="0.35">
      <c r="A28" s="23" t="s">
        <v>39</v>
      </c>
      <c r="D28" s="24"/>
      <c r="F28" s="4">
        <v>93098.17</v>
      </c>
      <c r="H28" s="24">
        <v>93098.17</v>
      </c>
    </row>
    <row r="29" spans="1:8" x14ac:dyDescent="0.35">
      <c r="A29" s="23" t="s">
        <v>21</v>
      </c>
      <c r="B29" s="30"/>
      <c r="D29" s="30"/>
      <c r="F29" s="5">
        <v>42005.72</v>
      </c>
      <c r="H29" s="30">
        <v>41866.17</v>
      </c>
    </row>
    <row r="30" spans="1:8" x14ac:dyDescent="0.35">
      <c r="A30" s="23" t="s">
        <v>20</v>
      </c>
      <c r="B30" s="24">
        <f>SUM(B24:B29)</f>
        <v>0</v>
      </c>
      <c r="D30" s="24">
        <f>SUM(D24:D29)</f>
        <v>0</v>
      </c>
      <c r="F30" s="4">
        <f>SUM(F24:F29)</f>
        <v>583886.31999999995</v>
      </c>
      <c r="H30" s="24">
        <f>SUM(H24:H29)</f>
        <v>491537.08999999997</v>
      </c>
    </row>
    <row r="31" spans="1:8" x14ac:dyDescent="0.35">
      <c r="D31" s="24"/>
      <c r="F31" s="4"/>
      <c r="H31" s="24"/>
    </row>
    <row r="32" spans="1:8" x14ac:dyDescent="0.35">
      <c r="A32" s="23" t="s">
        <v>19</v>
      </c>
      <c r="B32" s="32"/>
      <c r="C32" s="33"/>
      <c r="D32" s="32"/>
      <c r="E32" s="33"/>
      <c r="F32" s="7">
        <v>172644.21</v>
      </c>
      <c r="G32" s="33"/>
      <c r="H32" s="32">
        <v>181433.11</v>
      </c>
    </row>
    <row r="33" spans="1:8" x14ac:dyDescent="0.35">
      <c r="D33" s="24"/>
      <c r="F33" s="4"/>
      <c r="H33" s="24"/>
    </row>
    <row r="34" spans="1:8" x14ac:dyDescent="0.35">
      <c r="A34" s="23" t="s">
        <v>22</v>
      </c>
      <c r="D34" s="24"/>
      <c r="F34" s="4"/>
      <c r="H34" s="24"/>
    </row>
    <row r="35" spans="1:8" x14ac:dyDescent="0.35">
      <c r="A35" s="23" t="s">
        <v>23</v>
      </c>
      <c r="D35" s="24"/>
      <c r="F35" s="4">
        <f>388257.28+42005.72</f>
        <v>430263</v>
      </c>
      <c r="H35" s="24">
        <f>390912.67+41866.17</f>
        <v>432778.83999999997</v>
      </c>
    </row>
    <row r="36" spans="1:8" x14ac:dyDescent="0.35">
      <c r="A36" s="23" t="s">
        <v>24</v>
      </c>
      <c r="B36" s="30">
        <f>-B29</f>
        <v>0</v>
      </c>
      <c r="D36" s="30">
        <f>-D29</f>
        <v>0</v>
      </c>
      <c r="E36" s="34"/>
      <c r="F36" s="5">
        <f>-F29</f>
        <v>-42005.72</v>
      </c>
      <c r="G36" s="34"/>
      <c r="H36" s="30">
        <f>-H29</f>
        <v>-41866.17</v>
      </c>
    </row>
    <row r="37" spans="1:8" x14ac:dyDescent="0.35">
      <c r="A37" s="23" t="s">
        <v>25</v>
      </c>
      <c r="B37" s="35">
        <f>+B35+B36</f>
        <v>0</v>
      </c>
      <c r="D37" s="35">
        <f>+D35+D36</f>
        <v>0</v>
      </c>
      <c r="F37" s="6">
        <f>+F35+F36</f>
        <v>388257.28000000003</v>
      </c>
      <c r="H37" s="35">
        <f>+H35+H36</f>
        <v>390912.67</v>
      </c>
    </row>
    <row r="38" spans="1:8" x14ac:dyDescent="0.35">
      <c r="D38" s="24"/>
      <c r="F38" s="4"/>
      <c r="H38" s="24"/>
    </row>
    <row r="39" spans="1:8" x14ac:dyDescent="0.35">
      <c r="A39" s="23" t="s">
        <v>8</v>
      </c>
      <c r="B39" s="24">
        <f>+B37+B32+B30</f>
        <v>0</v>
      </c>
      <c r="D39" s="24">
        <f>+D37+D32+D30</f>
        <v>0</v>
      </c>
      <c r="F39" s="4">
        <f>+F37+F32+F30</f>
        <v>1144787.81</v>
      </c>
      <c r="H39" s="24">
        <f>+H37+H32+H30</f>
        <v>1063882.8700000001</v>
      </c>
    </row>
    <row r="40" spans="1:8" x14ac:dyDescent="0.35">
      <c r="D40" s="24"/>
      <c r="F40" s="4"/>
      <c r="H40" s="24"/>
    </row>
    <row r="41" spans="1:8" x14ac:dyDescent="0.35">
      <c r="A41" s="23" t="s">
        <v>26</v>
      </c>
      <c r="D41" s="24"/>
      <c r="F41" s="4"/>
      <c r="H41" s="24"/>
    </row>
    <row r="42" spans="1:8" x14ac:dyDescent="0.35">
      <c r="A42" s="23" t="s">
        <v>27</v>
      </c>
      <c r="D42" s="24"/>
      <c r="F42" s="13">
        <v>2447245.86</v>
      </c>
      <c r="H42" s="24">
        <v>2447245.86</v>
      </c>
    </row>
    <row r="43" spans="1:8" x14ac:dyDescent="0.35">
      <c r="A43" s="23" t="s">
        <v>28</v>
      </c>
      <c r="D43" s="24"/>
      <c r="F43" s="13">
        <v>1486338.08</v>
      </c>
      <c r="H43" s="24">
        <v>1486338.08</v>
      </c>
    </row>
    <row r="44" spans="1:8" x14ac:dyDescent="0.35">
      <c r="A44" s="23" t="s">
        <v>33</v>
      </c>
      <c r="B44" s="30"/>
      <c r="D44" s="30"/>
      <c r="F44" s="14">
        <v>-191156.42</v>
      </c>
      <c r="H44" s="30">
        <v>-123286.63</v>
      </c>
    </row>
    <row r="45" spans="1:8" x14ac:dyDescent="0.35">
      <c r="A45" s="23" t="s">
        <v>29</v>
      </c>
      <c r="B45" s="35">
        <f>+B42+B43+B44</f>
        <v>0</v>
      </c>
      <c r="D45" s="35">
        <f>+D42+D43+D44</f>
        <v>0</v>
      </c>
      <c r="F45" s="16">
        <f>+F42+F43+F44</f>
        <v>3742427.52</v>
      </c>
      <c r="H45" s="35">
        <f>+H42+H43+H44</f>
        <v>3810297.31</v>
      </c>
    </row>
    <row r="46" spans="1:8" x14ac:dyDescent="0.35">
      <c r="D46" s="24"/>
      <c r="F46" s="13"/>
      <c r="H46" s="24"/>
    </row>
    <row r="47" spans="1:8" ht="15" thickBot="1" x14ac:dyDescent="0.4">
      <c r="A47" s="23" t="s">
        <v>30</v>
      </c>
      <c r="B47" s="31">
        <f>B45+B39</f>
        <v>0</v>
      </c>
      <c r="D47" s="31">
        <f>D45+D39</f>
        <v>0</v>
      </c>
      <c r="F47" s="15">
        <f>F45+F39</f>
        <v>4887215.33</v>
      </c>
      <c r="H47" s="31">
        <f>H45+H39</f>
        <v>4874180.18</v>
      </c>
    </row>
    <row r="48" spans="1:8" ht="15" thickTop="1" x14ac:dyDescent="0.35"/>
  </sheetData>
  <pageMargins left="0.7" right="0.7" top="0.75" bottom="0.75" header="0.3" footer="0.3"/>
  <pageSetup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8"/>
  <sheetViews>
    <sheetView workbookViewId="0">
      <selection activeCell="J39" sqref="J39"/>
    </sheetView>
  </sheetViews>
  <sheetFormatPr defaultColWidth="9.1796875" defaultRowHeight="14.5" x14ac:dyDescent="0.35"/>
  <cols>
    <col min="1" max="1" width="31.81640625" style="1" customWidth="1"/>
    <col min="2" max="2" width="16.1796875" style="4" customWidth="1"/>
    <col min="3" max="3" width="9.81640625" style="1" customWidth="1"/>
    <col min="4" max="4" width="14.81640625" style="2" bestFit="1" customWidth="1"/>
    <col min="5" max="5" width="9.1796875" style="1"/>
    <col min="6" max="6" width="15.81640625" style="2" customWidth="1"/>
    <col min="7" max="7" width="9.1796875" style="1"/>
    <col min="8" max="8" width="15.81640625" style="2" customWidth="1"/>
    <col min="9" max="9" width="9.1796875" style="1"/>
    <col min="10" max="10" width="9.453125" style="1" bestFit="1" customWidth="1"/>
    <col min="11" max="16384" width="9.1796875" style="1"/>
  </cols>
  <sheetData>
    <row r="1" spans="1:10" x14ac:dyDescent="0.35">
      <c r="A1" s="1" t="s">
        <v>31</v>
      </c>
    </row>
    <row r="2" spans="1:10" ht="24" x14ac:dyDescent="0.35">
      <c r="A2" s="1" t="s">
        <v>32</v>
      </c>
      <c r="B2" s="19" t="s">
        <v>41</v>
      </c>
      <c r="C2" s="20"/>
      <c r="F2" s="18" t="s">
        <v>40</v>
      </c>
    </row>
    <row r="3" spans="1:10" ht="29" x14ac:dyDescent="0.35">
      <c r="B3" s="11" t="s">
        <v>34</v>
      </c>
      <c r="D3" s="11" t="s">
        <v>35</v>
      </c>
      <c r="F3" s="21" t="s">
        <v>36</v>
      </c>
      <c r="H3" s="12" t="s">
        <v>37</v>
      </c>
    </row>
    <row r="4" spans="1:10" x14ac:dyDescent="0.35">
      <c r="B4" s="22" t="s">
        <v>48</v>
      </c>
      <c r="D4" s="22" t="s">
        <v>49</v>
      </c>
      <c r="F4" s="28">
        <v>43830</v>
      </c>
      <c r="H4" s="22">
        <v>43830</v>
      </c>
    </row>
    <row r="5" spans="1:10" x14ac:dyDescent="0.35">
      <c r="A5" s="1" t="s">
        <v>0</v>
      </c>
      <c r="B5" s="9"/>
      <c r="D5" s="9"/>
      <c r="F5" s="28"/>
      <c r="H5" s="9"/>
    </row>
    <row r="6" spans="1:10" x14ac:dyDescent="0.35">
      <c r="A6" s="1" t="s">
        <v>1</v>
      </c>
      <c r="B6" s="3"/>
      <c r="D6" s="3"/>
      <c r="F6" s="29"/>
      <c r="H6" s="3"/>
    </row>
    <row r="7" spans="1:10" x14ac:dyDescent="0.35">
      <c r="A7" s="1" t="s">
        <v>9</v>
      </c>
      <c r="D7" s="4"/>
      <c r="F7" s="4">
        <f>-14275.7+481.75+50.01+401.5+15925.27+70.51+123.95+720.53</f>
        <v>3497.8199999999997</v>
      </c>
      <c r="H7" s="4">
        <f>-14275.7+481.75+50.01+401.5+15925.27+70.51+123.95+720.53</f>
        <v>3497.8199999999997</v>
      </c>
    </row>
    <row r="8" spans="1:10" x14ac:dyDescent="0.35">
      <c r="A8" s="1" t="s">
        <v>2</v>
      </c>
      <c r="D8" s="4"/>
      <c r="F8" s="4">
        <v>180959.76</v>
      </c>
      <c r="H8" s="4">
        <v>180959.76</v>
      </c>
    </row>
    <row r="9" spans="1:10" x14ac:dyDescent="0.35">
      <c r="A9" s="1" t="s">
        <v>10</v>
      </c>
      <c r="D9" s="4"/>
      <c r="F9" s="4">
        <v>10035.25</v>
      </c>
      <c r="H9" s="4">
        <v>10035.25</v>
      </c>
    </row>
    <row r="10" spans="1:10" x14ac:dyDescent="0.35">
      <c r="A10" s="1" t="s">
        <v>3</v>
      </c>
      <c r="B10" s="5"/>
      <c r="D10" s="5"/>
      <c r="F10" s="5">
        <f>3407.2+154767.52</f>
        <v>158174.72</v>
      </c>
      <c r="H10" s="5">
        <f>3407.2+154767.52</f>
        <v>158174.72</v>
      </c>
    </row>
    <row r="11" spans="1:10" x14ac:dyDescent="0.35">
      <c r="A11" s="1" t="s">
        <v>11</v>
      </c>
      <c r="B11" s="4">
        <f>SUM(B7:B10)</f>
        <v>0</v>
      </c>
      <c r="D11" s="4">
        <f>SUM(D7:D10)</f>
        <v>0</v>
      </c>
      <c r="F11" s="4">
        <f>SUM(F7:F10)</f>
        <v>352667.55000000005</v>
      </c>
      <c r="H11" s="4">
        <f>SUM(H7:H10)</f>
        <v>352667.55000000005</v>
      </c>
    </row>
    <row r="12" spans="1:10" x14ac:dyDescent="0.35">
      <c r="D12" s="4"/>
      <c r="F12" s="4"/>
      <c r="H12" s="4"/>
    </row>
    <row r="13" spans="1:10" x14ac:dyDescent="0.35">
      <c r="A13" s="1" t="s">
        <v>38</v>
      </c>
      <c r="D13" s="4"/>
      <c r="F13" s="4">
        <f>23166.08+61625.35</f>
        <v>84791.43</v>
      </c>
      <c r="H13" s="4">
        <f>23166.08+61625.35</f>
        <v>84791.43</v>
      </c>
      <c r="J13" s="17"/>
    </row>
    <row r="14" spans="1:10" x14ac:dyDescent="0.35">
      <c r="D14" s="4"/>
      <c r="F14" s="4"/>
      <c r="H14" s="4"/>
    </row>
    <row r="15" spans="1:10" x14ac:dyDescent="0.35">
      <c r="A15" s="1" t="s">
        <v>4</v>
      </c>
      <c r="B15" s="13"/>
      <c r="D15" s="13"/>
      <c r="F15" s="13">
        <v>7694874.4500000002</v>
      </c>
      <c r="H15" s="13">
        <v>7694874.4500000002</v>
      </c>
    </row>
    <row r="16" spans="1:10" x14ac:dyDescent="0.35">
      <c r="A16" s="1" t="s">
        <v>12</v>
      </c>
      <c r="B16" s="14"/>
      <c r="D16" s="14"/>
      <c r="F16" s="14">
        <v>-3245118.1</v>
      </c>
      <c r="H16" s="14">
        <v>-3245118.1</v>
      </c>
    </row>
    <row r="17" spans="1:8" x14ac:dyDescent="0.35">
      <c r="A17" s="1" t="s">
        <v>13</v>
      </c>
      <c r="B17" s="13">
        <f>+B15+B16</f>
        <v>0</v>
      </c>
      <c r="D17" s="13">
        <f>+D15+D16</f>
        <v>0</v>
      </c>
      <c r="F17" s="13">
        <f>+F15+F16</f>
        <v>4449756.3499999996</v>
      </c>
      <c r="H17" s="13">
        <f>+H15+H16</f>
        <v>4449756.3499999996</v>
      </c>
    </row>
    <row r="18" spans="1:8" x14ac:dyDescent="0.35">
      <c r="B18" s="13"/>
      <c r="D18" s="13"/>
      <c r="F18" s="13"/>
      <c r="H18" s="13"/>
    </row>
    <row r="19" spans="1:8" ht="15" thickBot="1" x14ac:dyDescent="0.4">
      <c r="A19" s="1" t="s">
        <v>14</v>
      </c>
      <c r="B19" s="15">
        <f>+B17+B11+B13</f>
        <v>0</v>
      </c>
      <c r="D19" s="15">
        <f>+D17+D11+D13</f>
        <v>0</v>
      </c>
      <c r="F19" s="15">
        <f>+F17+F11+F13</f>
        <v>4887215.3299999991</v>
      </c>
      <c r="H19" s="15">
        <f>+H17+H11+H13</f>
        <v>4887215.3299999991</v>
      </c>
    </row>
    <row r="20" spans="1:8" ht="15" thickTop="1" x14ac:dyDescent="0.35">
      <c r="D20" s="4"/>
      <c r="F20" s="4"/>
      <c r="H20" s="4"/>
    </row>
    <row r="21" spans="1:8" x14ac:dyDescent="0.35">
      <c r="A21" s="1" t="s">
        <v>5</v>
      </c>
      <c r="D21" s="4"/>
      <c r="F21" s="4"/>
      <c r="H21" s="4"/>
    </row>
    <row r="22" spans="1:8" x14ac:dyDescent="0.35">
      <c r="A22" s="1" t="s">
        <v>15</v>
      </c>
      <c r="D22" s="4"/>
      <c r="F22" s="4"/>
      <c r="H22" s="4"/>
    </row>
    <row r="23" spans="1:8" x14ac:dyDescent="0.35">
      <c r="A23" s="1" t="s">
        <v>6</v>
      </c>
      <c r="D23" s="4"/>
      <c r="F23" s="4"/>
      <c r="H23" s="4"/>
    </row>
    <row r="24" spans="1:8" x14ac:dyDescent="0.35">
      <c r="A24" s="1" t="s">
        <v>7</v>
      </c>
      <c r="D24" s="4"/>
      <c r="F24" s="4">
        <v>391087.13</v>
      </c>
      <c r="H24" s="4">
        <v>391087.13</v>
      </c>
    </row>
    <row r="25" spans="1:8" x14ac:dyDescent="0.35">
      <c r="A25" s="1" t="s">
        <v>16</v>
      </c>
      <c r="D25" s="4"/>
      <c r="F25" s="4">
        <v>8173.97</v>
      </c>
      <c r="H25" s="4">
        <v>8173.97</v>
      </c>
    </row>
    <row r="26" spans="1:8" x14ac:dyDescent="0.35">
      <c r="A26" s="1" t="s">
        <v>17</v>
      </c>
      <c r="D26" s="4"/>
      <c r="F26" s="4">
        <v>3071.87</v>
      </c>
      <c r="H26" s="4">
        <v>3071.87</v>
      </c>
    </row>
    <row r="27" spans="1:8" x14ac:dyDescent="0.35">
      <c r="A27" s="1" t="s">
        <v>18</v>
      </c>
      <c r="D27" s="4"/>
      <c r="F27" s="4">
        <v>46449.46</v>
      </c>
      <c r="H27" s="4">
        <v>46449.46</v>
      </c>
    </row>
    <row r="28" spans="1:8" x14ac:dyDescent="0.35">
      <c r="A28" s="1" t="s">
        <v>39</v>
      </c>
      <c r="D28" s="4"/>
      <c r="F28" s="4">
        <v>93098.17</v>
      </c>
      <c r="H28" s="4">
        <v>93098.17</v>
      </c>
    </row>
    <row r="29" spans="1:8" x14ac:dyDescent="0.35">
      <c r="A29" s="1" t="s">
        <v>21</v>
      </c>
      <c r="B29" s="5"/>
      <c r="D29" s="5"/>
      <c r="F29" s="5">
        <v>42005.72</v>
      </c>
      <c r="H29" s="5">
        <v>42005.72</v>
      </c>
    </row>
    <row r="30" spans="1:8" x14ac:dyDescent="0.35">
      <c r="A30" s="1" t="s">
        <v>20</v>
      </c>
      <c r="B30" s="4">
        <f>SUM(B24:B29)</f>
        <v>0</v>
      </c>
      <c r="D30" s="4">
        <f>SUM(D24:D29)</f>
        <v>0</v>
      </c>
      <c r="F30" s="4">
        <f>SUM(F24:F29)</f>
        <v>583886.31999999995</v>
      </c>
      <c r="H30" s="4">
        <f>SUM(H24:H29)</f>
        <v>583886.31999999995</v>
      </c>
    </row>
    <row r="31" spans="1:8" x14ac:dyDescent="0.35">
      <c r="D31" s="4"/>
      <c r="F31" s="4"/>
      <c r="H31" s="4"/>
    </row>
    <row r="32" spans="1:8" x14ac:dyDescent="0.35">
      <c r="A32" s="1" t="s">
        <v>19</v>
      </c>
      <c r="B32" s="7"/>
      <c r="C32" s="8"/>
      <c r="D32" s="7"/>
      <c r="E32" s="8"/>
      <c r="F32" s="7">
        <v>172644.21</v>
      </c>
      <c r="G32" s="8"/>
      <c r="H32" s="7">
        <v>172644.21</v>
      </c>
    </row>
    <row r="33" spans="1:8" x14ac:dyDescent="0.35">
      <c r="D33" s="4"/>
      <c r="F33" s="4"/>
      <c r="H33" s="4"/>
    </row>
    <row r="34" spans="1:8" x14ac:dyDescent="0.35">
      <c r="A34" s="1" t="s">
        <v>22</v>
      </c>
      <c r="D34" s="4"/>
      <c r="F34" s="4"/>
      <c r="H34" s="4"/>
    </row>
    <row r="35" spans="1:8" x14ac:dyDescent="0.35">
      <c r="A35" s="1" t="s">
        <v>23</v>
      </c>
      <c r="D35" s="4"/>
      <c r="F35" s="4">
        <f>388257.28+42005.72</f>
        <v>430263</v>
      </c>
      <c r="H35" s="4">
        <f>388257.28+42005.72</f>
        <v>430263</v>
      </c>
    </row>
    <row r="36" spans="1:8" x14ac:dyDescent="0.35">
      <c r="A36" s="1" t="s">
        <v>24</v>
      </c>
      <c r="B36" s="5">
        <f>-B29</f>
        <v>0</v>
      </c>
      <c r="D36" s="5">
        <f>-D29</f>
        <v>0</v>
      </c>
      <c r="E36" s="10"/>
      <c r="F36" s="5">
        <f>-F29</f>
        <v>-42005.72</v>
      </c>
      <c r="G36" s="10"/>
      <c r="H36" s="5">
        <f>-H29</f>
        <v>-42005.72</v>
      </c>
    </row>
    <row r="37" spans="1:8" x14ac:dyDescent="0.35">
      <c r="A37" s="1" t="s">
        <v>25</v>
      </c>
      <c r="B37" s="6">
        <f>+B35+B36</f>
        <v>0</v>
      </c>
      <c r="D37" s="6">
        <f>+D35+D36</f>
        <v>0</v>
      </c>
      <c r="F37" s="6">
        <f>+F35+F36</f>
        <v>388257.28000000003</v>
      </c>
      <c r="H37" s="6">
        <f>+H35+H36</f>
        <v>388257.28000000003</v>
      </c>
    </row>
    <row r="38" spans="1:8" x14ac:dyDescent="0.35">
      <c r="D38" s="4"/>
      <c r="F38" s="4"/>
      <c r="H38" s="4"/>
    </row>
    <row r="39" spans="1:8" x14ac:dyDescent="0.35">
      <c r="A39" s="1" t="s">
        <v>8</v>
      </c>
      <c r="B39" s="4">
        <f>+B37+B32+B30</f>
        <v>0</v>
      </c>
      <c r="D39" s="4">
        <f>+D37+D32+D30</f>
        <v>0</v>
      </c>
      <c r="F39" s="4">
        <f>+F37+F32+F30</f>
        <v>1144787.81</v>
      </c>
      <c r="H39" s="4">
        <f>+H37+H32+H30</f>
        <v>1144787.81</v>
      </c>
    </row>
    <row r="40" spans="1:8" x14ac:dyDescent="0.35">
      <c r="D40" s="4"/>
      <c r="F40" s="4"/>
      <c r="H40" s="4"/>
    </row>
    <row r="41" spans="1:8" x14ac:dyDescent="0.35">
      <c r="A41" s="1" t="s">
        <v>26</v>
      </c>
      <c r="D41" s="4"/>
      <c r="F41" s="4"/>
      <c r="H41" s="4"/>
    </row>
    <row r="42" spans="1:8" x14ac:dyDescent="0.35">
      <c r="A42" s="1" t="s">
        <v>27</v>
      </c>
      <c r="B42" s="13"/>
      <c r="D42" s="13"/>
      <c r="F42" s="13">
        <v>2447245.86</v>
      </c>
      <c r="H42" s="13">
        <v>2447245.86</v>
      </c>
    </row>
    <row r="43" spans="1:8" x14ac:dyDescent="0.35">
      <c r="A43" s="1" t="s">
        <v>28</v>
      </c>
      <c r="B43" s="13"/>
      <c r="D43" s="13"/>
      <c r="F43" s="13">
        <v>1486338.08</v>
      </c>
      <c r="H43" s="13">
        <v>1486338.08</v>
      </c>
    </row>
    <row r="44" spans="1:8" x14ac:dyDescent="0.35">
      <c r="A44" s="1" t="s">
        <v>33</v>
      </c>
      <c r="B44" s="14"/>
      <c r="D44" s="14"/>
      <c r="F44" s="14">
        <v>-191156.42</v>
      </c>
      <c r="H44" s="14">
        <v>-191156.42</v>
      </c>
    </row>
    <row r="45" spans="1:8" x14ac:dyDescent="0.35">
      <c r="A45" s="1" t="s">
        <v>29</v>
      </c>
      <c r="B45" s="16">
        <f>+B42+B43+B44</f>
        <v>0</v>
      </c>
      <c r="D45" s="16">
        <f>+D42+D43+D44</f>
        <v>0</v>
      </c>
      <c r="F45" s="16">
        <f>+F42+F43+F44</f>
        <v>3742427.52</v>
      </c>
      <c r="H45" s="16">
        <f>+H42+H43+H44</f>
        <v>3742427.52</v>
      </c>
    </row>
    <row r="46" spans="1:8" x14ac:dyDescent="0.35">
      <c r="B46" s="13"/>
      <c r="D46" s="13"/>
      <c r="F46" s="13"/>
      <c r="H46" s="13"/>
    </row>
    <row r="47" spans="1:8" ht="15" thickBot="1" x14ac:dyDescent="0.4">
      <c r="A47" s="1" t="s">
        <v>30</v>
      </c>
      <c r="B47" s="15">
        <f>B45+B39</f>
        <v>0</v>
      </c>
      <c r="D47" s="15">
        <f>D45+D39</f>
        <v>0</v>
      </c>
      <c r="F47" s="15">
        <f>F45+F39</f>
        <v>4887215.33</v>
      </c>
      <c r="H47" s="15">
        <f>H45+H39</f>
        <v>4887215.33</v>
      </c>
    </row>
    <row r="48" spans="1:8" ht="15" thickTop="1" x14ac:dyDescent="0.35">
      <c r="B48" s="2"/>
    </row>
  </sheetData>
  <pageMargins left="0.7" right="0.7" top="0.75" bottom="0.75" header="0.3" footer="0.3"/>
  <pageSetup scale="7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8"/>
  <sheetViews>
    <sheetView topLeftCell="A16" workbookViewId="0">
      <selection activeCell="B4" sqref="B4:B47"/>
    </sheetView>
  </sheetViews>
  <sheetFormatPr defaultColWidth="8.7265625" defaultRowHeight="14.5" x14ac:dyDescent="0.35"/>
  <cols>
    <col min="1" max="1" width="33" style="23" customWidth="1"/>
    <col min="2" max="2" width="15.54296875" style="23" customWidth="1"/>
    <col min="3" max="3" width="8.54296875" style="23" customWidth="1"/>
    <col min="4" max="4" width="17" style="23" customWidth="1"/>
    <col min="5" max="5" width="8.54296875" style="23" customWidth="1"/>
    <col min="6" max="6" width="16.453125" style="23" customWidth="1"/>
    <col min="7" max="7" width="8.54296875" style="23" customWidth="1"/>
    <col min="8" max="8" width="17.1796875" style="23" customWidth="1"/>
    <col min="9" max="16384" width="8.7265625" style="23"/>
  </cols>
  <sheetData>
    <row r="1" spans="1:8" x14ac:dyDescent="0.35">
      <c r="A1" s="23" t="s">
        <v>31</v>
      </c>
      <c r="B1" s="24"/>
      <c r="D1" s="25"/>
      <c r="F1" s="25"/>
      <c r="H1" s="25"/>
    </row>
    <row r="2" spans="1:8" x14ac:dyDescent="0.35">
      <c r="A2" s="23" t="s">
        <v>32</v>
      </c>
      <c r="B2" s="24"/>
      <c r="D2" s="25"/>
      <c r="F2" s="25"/>
      <c r="H2" s="25"/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43890</v>
      </c>
      <c r="D4" s="38">
        <v>43861</v>
      </c>
      <c r="F4" s="28">
        <v>43830</v>
      </c>
      <c r="H4" s="28">
        <v>43524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B7" s="24">
        <f>-56346.31+171.75+15745.27+70.51+103+815.69+48.62</f>
        <v>-39391.469999999987</v>
      </c>
      <c r="D7" s="24">
        <f>-1108.22+476.75+15835.27+70.51+123.95+622.19</f>
        <v>16020.450000000003</v>
      </c>
      <c r="F7" s="4">
        <f>-14275.7+481.75+50.01+401.5+15925.27+70.51+123.95+720.53</f>
        <v>3497.8199999999997</v>
      </c>
      <c r="H7" s="24">
        <v>-9919.25</v>
      </c>
    </row>
    <row r="8" spans="1:8" x14ac:dyDescent="0.35">
      <c r="A8" s="23" t="s">
        <v>2</v>
      </c>
      <c r="B8" s="24">
        <v>333386.26</v>
      </c>
      <c r="D8" s="24">
        <v>294224.59000000003</v>
      </c>
      <c r="F8" s="4">
        <v>180959.76</v>
      </c>
      <c r="H8" s="24">
        <v>76941.53</v>
      </c>
    </row>
    <row r="9" spans="1:8" x14ac:dyDescent="0.35">
      <c r="A9" s="23" t="s">
        <v>10</v>
      </c>
      <c r="B9" s="24">
        <v>11897.34</v>
      </c>
      <c r="D9" s="24">
        <v>11919.05</v>
      </c>
      <c r="F9" s="4">
        <v>10035.25</v>
      </c>
      <c r="H9" s="24">
        <v>8926.3799999999992</v>
      </c>
    </row>
    <row r="10" spans="1:8" x14ac:dyDescent="0.35">
      <c r="A10" s="23" t="s">
        <v>3</v>
      </c>
      <c r="B10" s="30">
        <f>3407.2+69736.2</f>
        <v>73143.399999999994</v>
      </c>
      <c r="D10" s="30">
        <f>3407.2+75887.1</f>
        <v>79294.3</v>
      </c>
      <c r="F10" s="5">
        <f>3407.2+154767.52</f>
        <v>158174.72</v>
      </c>
      <c r="H10" s="30">
        <v>136377.25</v>
      </c>
    </row>
    <row r="11" spans="1:8" x14ac:dyDescent="0.35">
      <c r="A11" s="23" t="s">
        <v>11</v>
      </c>
      <c r="B11" s="24">
        <f>SUM(B7:B10)</f>
        <v>379035.53</v>
      </c>
      <c r="D11" s="24">
        <f>SUM(D7:D10)</f>
        <v>401458.39</v>
      </c>
      <c r="F11" s="4">
        <f>SUM(F7:F10)</f>
        <v>352667.55000000005</v>
      </c>
      <c r="H11" s="24">
        <v>212325.91</v>
      </c>
    </row>
    <row r="12" spans="1:8" x14ac:dyDescent="0.35">
      <c r="B12" s="24"/>
      <c r="D12" s="24"/>
      <c r="F12" s="4"/>
      <c r="H12" s="24"/>
    </row>
    <row r="13" spans="1:8" x14ac:dyDescent="0.35">
      <c r="A13" s="23" t="s">
        <v>38</v>
      </c>
      <c r="B13" s="24">
        <f>41218.37+3166.08+40633.27</f>
        <v>85017.72</v>
      </c>
      <c r="D13" s="24">
        <f>45092.36+18166.08+40630.05</f>
        <v>103888.49</v>
      </c>
      <c r="F13" s="4">
        <f>23166.08+61625.35</f>
        <v>84791.43</v>
      </c>
      <c r="H13" s="24">
        <v>73832.77</v>
      </c>
    </row>
    <row r="14" spans="1:8" x14ac:dyDescent="0.35">
      <c r="B14" s="24"/>
      <c r="D14" s="24"/>
      <c r="F14" s="4"/>
      <c r="H14" s="24"/>
    </row>
    <row r="15" spans="1:8" x14ac:dyDescent="0.35">
      <c r="A15" s="23" t="s">
        <v>4</v>
      </c>
      <c r="B15" s="24">
        <v>7901236.8600000003</v>
      </c>
      <c r="D15" s="24">
        <v>7833656.71</v>
      </c>
      <c r="F15" s="13">
        <v>7694874.4500000002</v>
      </c>
      <c r="H15" s="24">
        <v>7286543.4199999999</v>
      </c>
    </row>
    <row r="16" spans="1:8" x14ac:dyDescent="0.35">
      <c r="A16" s="23" t="s">
        <v>12</v>
      </c>
      <c r="B16" s="30">
        <v>-3278663.26</v>
      </c>
      <c r="D16" s="30">
        <v>-3261890.68</v>
      </c>
      <c r="F16" s="14">
        <v>-3245118.1</v>
      </c>
      <c r="H16" s="30">
        <v>-3078087.94</v>
      </c>
    </row>
    <row r="17" spans="1:8" x14ac:dyDescent="0.35">
      <c r="A17" s="23" t="s">
        <v>13</v>
      </c>
      <c r="B17" s="24">
        <f>+B15+B16</f>
        <v>4622573.6000000006</v>
      </c>
      <c r="D17" s="24">
        <f>+D15+D16</f>
        <v>4571766.0299999993</v>
      </c>
      <c r="F17" s="13">
        <f>+F15+F16</f>
        <v>4449756.3499999996</v>
      </c>
      <c r="H17" s="24">
        <v>4208455.4800000004</v>
      </c>
    </row>
    <row r="18" spans="1:8" x14ac:dyDescent="0.35">
      <c r="B18" s="24"/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5086626.8500000006</v>
      </c>
      <c r="C19" s="31"/>
      <c r="D19" s="31">
        <f>+D17+D11+D13</f>
        <v>5077112.9099999992</v>
      </c>
      <c r="E19" s="31"/>
      <c r="F19" s="15">
        <f>+F17+F11+F13</f>
        <v>4887215.3299999991</v>
      </c>
      <c r="G19" s="31"/>
      <c r="H19" s="31">
        <v>4494614.16</v>
      </c>
    </row>
    <row r="20" spans="1:8" ht="15" thickTop="1" x14ac:dyDescent="0.35">
      <c r="B20" s="24"/>
      <c r="D20" s="24"/>
      <c r="F20" s="4"/>
      <c r="H20" s="24"/>
    </row>
    <row r="21" spans="1:8" x14ac:dyDescent="0.35">
      <c r="A21" s="23" t="s">
        <v>5</v>
      </c>
      <c r="B21" s="24"/>
      <c r="D21" s="24"/>
      <c r="F21" s="4"/>
      <c r="H21" s="24"/>
    </row>
    <row r="22" spans="1:8" x14ac:dyDescent="0.35">
      <c r="A22" s="23" t="s">
        <v>15</v>
      </c>
      <c r="B22" s="24"/>
      <c r="D22" s="24"/>
      <c r="F22" s="4"/>
      <c r="H22" s="24"/>
    </row>
    <row r="23" spans="1:8" x14ac:dyDescent="0.35">
      <c r="A23" s="23" t="s">
        <v>6</v>
      </c>
      <c r="B23" s="24"/>
      <c r="D23" s="24"/>
      <c r="F23" s="4"/>
      <c r="H23" s="24"/>
    </row>
    <row r="24" spans="1:8" x14ac:dyDescent="0.35">
      <c r="A24" s="23" t="s">
        <v>7</v>
      </c>
      <c r="B24" s="24">
        <v>508154.37</v>
      </c>
      <c r="D24" s="24">
        <v>524185.71</v>
      </c>
      <c r="F24" s="4">
        <v>391087.13</v>
      </c>
      <c r="H24" s="24">
        <v>88371.57</v>
      </c>
    </row>
    <row r="25" spans="1:8" x14ac:dyDescent="0.35">
      <c r="A25" s="23" t="s">
        <v>16</v>
      </c>
      <c r="B25" s="24">
        <v>9440.6200000000008</v>
      </c>
      <c r="D25" s="24">
        <f>6675.17+346.73</f>
        <v>7021.9</v>
      </c>
      <c r="F25" s="4">
        <v>8173.97</v>
      </c>
      <c r="H25" s="24">
        <v>17586.310000000001</v>
      </c>
    </row>
    <row r="26" spans="1:8" x14ac:dyDescent="0.35">
      <c r="A26" s="23" t="s">
        <v>17</v>
      </c>
      <c r="B26" s="24">
        <v>3362.79</v>
      </c>
      <c r="D26" s="24">
        <v>2391.86</v>
      </c>
      <c r="F26" s="4">
        <v>3071.87</v>
      </c>
      <c r="H26" s="24">
        <v>1992.86</v>
      </c>
    </row>
    <row r="27" spans="1:8" x14ac:dyDescent="0.35">
      <c r="A27" s="23" t="s">
        <v>18</v>
      </c>
      <c r="B27" s="24">
        <v>30646.799999999999</v>
      </c>
      <c r="D27" s="24">
        <v>29099.83</v>
      </c>
      <c r="F27" s="4">
        <v>46449.46</v>
      </c>
      <c r="H27" s="24">
        <v>43944.67</v>
      </c>
    </row>
    <row r="28" spans="1:8" x14ac:dyDescent="0.35">
      <c r="A28" s="23" t="s">
        <v>39</v>
      </c>
      <c r="B28" s="24">
        <v>90692.92</v>
      </c>
      <c r="D28" s="24">
        <v>92098.17</v>
      </c>
      <c r="F28" s="4">
        <v>93098.17</v>
      </c>
      <c r="H28" s="24">
        <v>69383.81</v>
      </c>
    </row>
    <row r="29" spans="1:8" x14ac:dyDescent="0.35">
      <c r="A29" s="23" t="s">
        <v>21</v>
      </c>
      <c r="B29" s="30">
        <v>42295.59</v>
      </c>
      <c r="D29" s="30">
        <v>42150.400000000001</v>
      </c>
      <c r="F29" s="5">
        <v>42005.72</v>
      </c>
      <c r="H29" s="30">
        <v>40661.839999999997</v>
      </c>
    </row>
    <row r="30" spans="1:8" x14ac:dyDescent="0.35">
      <c r="A30" s="23" t="s">
        <v>20</v>
      </c>
      <c r="B30" s="24">
        <f>SUM(B24:B29)</f>
        <v>684593.09</v>
      </c>
      <c r="D30" s="24">
        <f>SUM(D24:D29)</f>
        <v>696947.87</v>
      </c>
      <c r="F30" s="4">
        <f>SUM(F24:F29)</f>
        <v>583886.31999999995</v>
      </c>
      <c r="H30" s="24">
        <v>261941.06</v>
      </c>
    </row>
    <row r="31" spans="1:8" x14ac:dyDescent="0.35">
      <c r="B31" s="24"/>
      <c r="D31" s="24"/>
      <c r="F31" s="4"/>
      <c r="H31" s="24"/>
    </row>
    <row r="32" spans="1:8" x14ac:dyDescent="0.35">
      <c r="A32" s="23" t="s">
        <v>19</v>
      </c>
      <c r="B32" s="32">
        <v>148084.31</v>
      </c>
      <c r="C32" s="33"/>
      <c r="D32" s="32">
        <v>160296.93</v>
      </c>
      <c r="E32" s="33"/>
      <c r="F32" s="7">
        <v>172644.21</v>
      </c>
      <c r="G32" s="33"/>
      <c r="H32" s="32">
        <v>114128.95</v>
      </c>
    </row>
    <row r="33" spans="1:8" x14ac:dyDescent="0.35">
      <c r="B33" s="24"/>
      <c r="D33" s="24"/>
      <c r="F33" s="4"/>
      <c r="H33" s="24"/>
    </row>
    <row r="34" spans="1:8" x14ac:dyDescent="0.35">
      <c r="A34" s="23" t="s">
        <v>22</v>
      </c>
      <c r="B34" s="24"/>
      <c r="D34" s="24"/>
      <c r="F34" s="4"/>
      <c r="H34" s="24"/>
    </row>
    <row r="35" spans="1:8" x14ac:dyDescent="0.35">
      <c r="A35" s="23" t="s">
        <v>23</v>
      </c>
      <c r="B35" s="24">
        <f>382358.68+42295.59</f>
        <v>424654.27</v>
      </c>
      <c r="D35" s="24">
        <f>385244.87+42150.4</f>
        <v>427395.27</v>
      </c>
      <c r="F35" s="4">
        <f>388257.28+42005.72</f>
        <v>430263</v>
      </c>
      <c r="H35" s="24">
        <v>456336.85</v>
      </c>
    </row>
    <row r="36" spans="1:8" x14ac:dyDescent="0.35">
      <c r="A36" s="23" t="s">
        <v>24</v>
      </c>
      <c r="B36" s="30">
        <f>-B29</f>
        <v>-42295.59</v>
      </c>
      <c r="D36" s="30">
        <v>-42150.400000000001</v>
      </c>
      <c r="E36" s="34"/>
      <c r="F36" s="5">
        <f>-F29</f>
        <v>-42005.72</v>
      </c>
      <c r="G36" s="34"/>
      <c r="H36" s="30">
        <v>-40661.839999999997</v>
      </c>
    </row>
    <row r="37" spans="1:8" x14ac:dyDescent="0.35">
      <c r="A37" s="23" t="s">
        <v>25</v>
      </c>
      <c r="B37" s="35">
        <f>+B35+B36</f>
        <v>382358.68000000005</v>
      </c>
      <c r="D37" s="35">
        <f>+D35+D36</f>
        <v>385244.87</v>
      </c>
      <c r="F37" s="6">
        <f>+F35+F36</f>
        <v>388257.28000000003</v>
      </c>
      <c r="H37" s="35">
        <v>415675.01</v>
      </c>
    </row>
    <row r="38" spans="1:8" x14ac:dyDescent="0.35">
      <c r="B38" s="24"/>
      <c r="D38" s="24"/>
      <c r="F38" s="4"/>
      <c r="H38" s="24"/>
    </row>
    <row r="39" spans="1:8" x14ac:dyDescent="0.35">
      <c r="A39" s="23" t="s">
        <v>8</v>
      </c>
      <c r="B39" s="24">
        <f>+B37+B32+B30</f>
        <v>1215036.08</v>
      </c>
      <c r="D39" s="24">
        <f>+D37+D32+D30</f>
        <v>1242489.67</v>
      </c>
      <c r="F39" s="4">
        <f>+F37+F32+F30</f>
        <v>1144787.81</v>
      </c>
      <c r="H39" s="24">
        <v>791745.02</v>
      </c>
    </row>
    <row r="40" spans="1:8" x14ac:dyDescent="0.35">
      <c r="B40" s="24"/>
      <c r="D40" s="24"/>
      <c r="F40" s="4"/>
      <c r="H40" s="24"/>
    </row>
    <row r="41" spans="1:8" x14ac:dyDescent="0.35">
      <c r="A41" s="23" t="s">
        <v>26</v>
      </c>
      <c r="B41" s="24"/>
      <c r="D41" s="24"/>
      <c r="F41" s="4"/>
      <c r="H41" s="24"/>
    </row>
    <row r="42" spans="1:8" x14ac:dyDescent="0.35">
      <c r="A42" s="23" t="s">
        <v>27</v>
      </c>
      <c r="B42" s="24">
        <v>2447245.86</v>
      </c>
      <c r="D42" s="24">
        <v>2447245.86</v>
      </c>
      <c r="F42" s="13">
        <v>2447245.86</v>
      </c>
      <c r="H42" s="24">
        <v>2447245.86</v>
      </c>
    </row>
    <row r="43" spans="1:8" x14ac:dyDescent="0.35">
      <c r="A43" s="23" t="s">
        <v>28</v>
      </c>
      <c r="B43" s="24">
        <v>1309260.3</v>
      </c>
      <c r="D43" s="24">
        <v>1309260.3</v>
      </c>
      <c r="F43" s="13">
        <v>1486338.08</v>
      </c>
      <c r="H43" s="24">
        <v>1370460.22</v>
      </c>
    </row>
    <row r="44" spans="1:8" x14ac:dyDescent="0.35">
      <c r="A44" s="23" t="s">
        <v>33</v>
      </c>
      <c r="B44" s="30">
        <v>115084.61</v>
      </c>
      <c r="D44" s="30">
        <v>78117.08</v>
      </c>
      <c r="F44" s="14">
        <v>-191156.42</v>
      </c>
      <c r="H44" s="30">
        <v>-114836.94</v>
      </c>
    </row>
    <row r="45" spans="1:8" x14ac:dyDescent="0.35">
      <c r="A45" s="23" t="s">
        <v>29</v>
      </c>
      <c r="B45" s="35">
        <f>+B42+B43+B44</f>
        <v>3871590.77</v>
      </c>
      <c r="D45" s="35">
        <f>+D42+D43+D44</f>
        <v>3834623.24</v>
      </c>
      <c r="F45" s="16">
        <f>+F42+F43+F44</f>
        <v>3742427.52</v>
      </c>
      <c r="H45" s="35">
        <v>3702869.14</v>
      </c>
    </row>
    <row r="46" spans="1:8" x14ac:dyDescent="0.35">
      <c r="B46" s="24"/>
      <c r="D46" s="24"/>
      <c r="F46" s="13"/>
      <c r="H46" s="24"/>
    </row>
    <row r="47" spans="1:8" ht="15" thickBot="1" x14ac:dyDescent="0.4">
      <c r="A47" s="23" t="s">
        <v>30</v>
      </c>
      <c r="B47" s="31">
        <f>+B45+B39</f>
        <v>5086626.8499999996</v>
      </c>
      <c r="D47" s="31">
        <f>+D45+D39</f>
        <v>5077112.91</v>
      </c>
      <c r="F47" s="15">
        <f>F45+F39</f>
        <v>4887215.33</v>
      </c>
      <c r="H47" s="31">
        <v>4494614.16</v>
      </c>
    </row>
    <row r="48" spans="1:8" ht="15" thickTop="1" x14ac:dyDescent="0.35"/>
  </sheetData>
  <pageMargins left="0.7" right="0.7" top="0.75" bottom="0.75" header="0.3" footer="0.3"/>
  <pageSetup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8"/>
  <sheetViews>
    <sheetView topLeftCell="A15" workbookViewId="0">
      <selection activeCell="B4" sqref="B4:B47"/>
    </sheetView>
  </sheetViews>
  <sheetFormatPr defaultColWidth="8.7265625" defaultRowHeight="14.5" x14ac:dyDescent="0.35"/>
  <cols>
    <col min="1" max="1" width="31.81640625" style="23" customWidth="1"/>
    <col min="2" max="2" width="14" style="24" bestFit="1" customWidth="1"/>
    <col min="3" max="3" width="8.7265625" style="23"/>
    <col min="4" max="4" width="14.54296875" style="25" customWidth="1"/>
    <col min="5" max="5" width="8.7265625" style="23"/>
    <col min="6" max="6" width="13.81640625" style="25" customWidth="1"/>
    <col min="7" max="7" width="8.7265625" style="23"/>
    <col min="8" max="8" width="13.81640625" style="25" customWidth="1"/>
    <col min="9" max="16384" width="8.7265625" style="23"/>
  </cols>
  <sheetData>
    <row r="1" spans="1:8" x14ac:dyDescent="0.35">
      <c r="A1" s="23" t="s">
        <v>31</v>
      </c>
    </row>
    <row r="2" spans="1:8" x14ac:dyDescent="0.35">
      <c r="A2" s="23" t="s">
        <v>32</v>
      </c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43921</v>
      </c>
      <c r="D4" s="28">
        <v>43890</v>
      </c>
      <c r="F4" s="28">
        <v>43830</v>
      </c>
      <c r="H4" s="28">
        <v>43555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B7" s="24">
        <f>105400.51+118.23+-750.43+118.76+103+700.92+11.96</f>
        <v>105702.95</v>
      </c>
      <c r="D7" s="24">
        <f>-56346.31+171.75+15745.27+70.51+103+815.69+48.62</f>
        <v>-39391.469999999987</v>
      </c>
      <c r="F7" s="4">
        <f>-14275.7+481.75+50.01+401.5+15925.27+70.51+123.95+720.53</f>
        <v>3497.8199999999997</v>
      </c>
      <c r="H7" s="24">
        <f>-4120.16+221.76+26.84+250+1749+234.23+426.93+434.2+482.89</f>
        <v>-294.30999999999938</v>
      </c>
    </row>
    <row r="8" spans="1:8" x14ac:dyDescent="0.35">
      <c r="A8" s="23" t="s">
        <v>2</v>
      </c>
      <c r="B8" s="24">
        <v>365973.23</v>
      </c>
      <c r="D8" s="24">
        <v>333386.26</v>
      </c>
      <c r="F8" s="4">
        <v>180959.76</v>
      </c>
      <c r="H8" s="24">
        <v>40378.980000000003</v>
      </c>
    </row>
    <row r="9" spans="1:8" x14ac:dyDescent="0.35">
      <c r="A9" s="23" t="s">
        <v>10</v>
      </c>
      <c r="B9" s="24">
        <v>11884.16</v>
      </c>
      <c r="D9" s="24">
        <v>11897.34</v>
      </c>
      <c r="F9" s="4">
        <v>10035.25</v>
      </c>
      <c r="H9" s="24">
        <v>7787.58</v>
      </c>
    </row>
    <row r="10" spans="1:8" x14ac:dyDescent="0.35">
      <c r="A10" s="23" t="s">
        <v>3</v>
      </c>
      <c r="B10" s="30">
        <f>63585.3+3407.2</f>
        <v>66992.5</v>
      </c>
      <c r="D10" s="30">
        <f>3407.2+69736.2</f>
        <v>73143.399999999994</v>
      </c>
      <c r="F10" s="5">
        <f>3407.2+154767.52</f>
        <v>158174.72</v>
      </c>
      <c r="H10" s="30">
        <f>3407.2+128555.27</f>
        <v>131962.47</v>
      </c>
    </row>
    <row r="11" spans="1:8" x14ac:dyDescent="0.35">
      <c r="A11" s="23" t="s">
        <v>11</v>
      </c>
      <c r="B11" s="24">
        <f>SUM(B7:B10)</f>
        <v>550552.84</v>
      </c>
      <c r="D11" s="24">
        <f>SUM(D7:D10)</f>
        <v>379035.53</v>
      </c>
      <c r="F11" s="4">
        <f>SUM(F7:F10)</f>
        <v>352667.55000000005</v>
      </c>
      <c r="H11" s="24">
        <f>SUM(H7:H10)</f>
        <v>179834.72</v>
      </c>
    </row>
    <row r="12" spans="1:8" x14ac:dyDescent="0.35">
      <c r="D12" s="24"/>
      <c r="F12" s="4"/>
      <c r="H12" s="24"/>
    </row>
    <row r="13" spans="1:8" x14ac:dyDescent="0.35">
      <c r="A13" s="23" t="s">
        <v>38</v>
      </c>
      <c r="B13" s="24">
        <f>41076.44+3166.08+40636.71</f>
        <v>84879.23000000001</v>
      </c>
      <c r="D13" s="24">
        <f>41218.37+3166.08+40633.27</f>
        <v>85017.72</v>
      </c>
      <c r="F13" s="4">
        <f>23166.08+61625.35</f>
        <v>84791.43</v>
      </c>
      <c r="H13" s="24">
        <f>5507.25+47002.31+25041.8</f>
        <v>77551.360000000001</v>
      </c>
    </row>
    <row r="14" spans="1:8" x14ac:dyDescent="0.35">
      <c r="D14" s="24"/>
      <c r="F14" s="4"/>
      <c r="H14" s="24"/>
    </row>
    <row r="15" spans="1:8" x14ac:dyDescent="0.35">
      <c r="A15" s="23" t="s">
        <v>4</v>
      </c>
      <c r="B15" s="24">
        <v>8012597.29</v>
      </c>
      <c r="D15" s="24">
        <v>7901236.8600000003</v>
      </c>
      <c r="F15" s="13">
        <v>7694874.4500000002</v>
      </c>
      <c r="H15" s="24">
        <v>7298323.4199999999</v>
      </c>
    </row>
    <row r="16" spans="1:8" x14ac:dyDescent="0.35">
      <c r="A16" s="23" t="s">
        <v>12</v>
      </c>
      <c r="B16" s="30">
        <v>-3295435.84</v>
      </c>
      <c r="D16" s="30">
        <v>-3278663.26</v>
      </c>
      <c r="F16" s="14">
        <v>-3245118.1</v>
      </c>
      <c r="H16" s="30">
        <v>-3096993.36</v>
      </c>
    </row>
    <row r="17" spans="1:8" x14ac:dyDescent="0.35">
      <c r="A17" s="23" t="s">
        <v>13</v>
      </c>
      <c r="B17" s="24">
        <f>+B15+B16</f>
        <v>4717161.45</v>
      </c>
      <c r="D17" s="24">
        <f>+D15+D16</f>
        <v>4622573.6000000006</v>
      </c>
      <c r="F17" s="13">
        <f>+F15+F16</f>
        <v>4449756.3499999996</v>
      </c>
      <c r="H17" s="24">
        <f>+H15+H16</f>
        <v>4201330.0600000005</v>
      </c>
    </row>
    <row r="18" spans="1:8" x14ac:dyDescent="0.35"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5352593.5200000005</v>
      </c>
      <c r="D19" s="31">
        <f>+D17+D11+D13</f>
        <v>5086626.8500000006</v>
      </c>
      <c r="F19" s="15">
        <f>+F17+F11+F13</f>
        <v>4887215.3299999991</v>
      </c>
      <c r="H19" s="31">
        <f>+H17+H11+H13</f>
        <v>4458716.1400000006</v>
      </c>
    </row>
    <row r="20" spans="1:8" ht="15" thickTop="1" x14ac:dyDescent="0.35">
      <c r="D20" s="24"/>
      <c r="F20" s="4"/>
      <c r="H20" s="24"/>
    </row>
    <row r="21" spans="1:8" x14ac:dyDescent="0.35">
      <c r="A21" s="23" t="s">
        <v>5</v>
      </c>
      <c r="D21" s="24"/>
      <c r="F21" s="4"/>
      <c r="H21" s="24"/>
    </row>
    <row r="22" spans="1:8" x14ac:dyDescent="0.35">
      <c r="A22" s="23" t="s">
        <v>15</v>
      </c>
      <c r="D22" s="24"/>
      <c r="F22" s="4"/>
      <c r="H22" s="24"/>
    </row>
    <row r="23" spans="1:8" x14ac:dyDescent="0.35">
      <c r="A23" s="23" t="s">
        <v>6</v>
      </c>
      <c r="D23" s="24"/>
      <c r="F23" s="4"/>
      <c r="H23" s="24"/>
    </row>
    <row r="24" spans="1:8" x14ac:dyDescent="0.35">
      <c r="A24" s="23" t="s">
        <v>7</v>
      </c>
      <c r="B24" s="24">
        <v>612958.30000000005</v>
      </c>
      <c r="D24" s="24">
        <v>508154.37</v>
      </c>
      <c r="F24" s="4">
        <v>391087.13</v>
      </c>
      <c r="H24" s="24">
        <v>92097.06</v>
      </c>
    </row>
    <row r="25" spans="1:8" x14ac:dyDescent="0.35">
      <c r="A25" s="23" t="s">
        <v>16</v>
      </c>
      <c r="B25" s="24">
        <f>5913.99+2892.23</f>
        <v>8806.2199999999993</v>
      </c>
      <c r="D25" s="24">
        <v>9440.6200000000008</v>
      </c>
      <c r="F25" s="4">
        <v>8173.97</v>
      </c>
      <c r="H25" s="24">
        <v>12163.17</v>
      </c>
    </row>
    <row r="26" spans="1:8" x14ac:dyDescent="0.35">
      <c r="A26" s="23" t="s">
        <v>17</v>
      </c>
      <c r="B26" s="24">
        <v>4346.3100000000004</v>
      </c>
      <c r="D26" s="24">
        <v>3362.79</v>
      </c>
      <c r="F26" s="4">
        <v>3071.87</v>
      </c>
      <c r="H26" s="24">
        <v>2988.09</v>
      </c>
    </row>
    <row r="27" spans="1:8" x14ac:dyDescent="0.35">
      <c r="A27" s="23" t="s">
        <v>18</v>
      </c>
      <c r="B27" s="24">
        <v>32343.45</v>
      </c>
      <c r="D27" s="24">
        <v>30646.799999999999</v>
      </c>
      <c r="F27" s="4">
        <v>46449.46</v>
      </c>
      <c r="H27" s="24">
        <v>46962.95</v>
      </c>
    </row>
    <row r="28" spans="1:8" x14ac:dyDescent="0.35">
      <c r="A28" s="23" t="s">
        <v>39</v>
      </c>
      <c r="B28" s="24">
        <v>90272.18</v>
      </c>
      <c r="D28" s="24">
        <v>90692.92</v>
      </c>
      <c r="F28" s="4">
        <v>93098.17</v>
      </c>
      <c r="H28" s="24">
        <v>79508.86</v>
      </c>
    </row>
    <row r="29" spans="1:8" x14ac:dyDescent="0.35">
      <c r="A29" s="23" t="s">
        <v>21</v>
      </c>
      <c r="B29" s="30">
        <v>42471.79</v>
      </c>
      <c r="D29" s="30">
        <v>42295.59</v>
      </c>
      <c r="F29" s="5">
        <v>42005.72</v>
      </c>
      <c r="H29" s="30">
        <v>40743.730000000003</v>
      </c>
    </row>
    <row r="30" spans="1:8" x14ac:dyDescent="0.35">
      <c r="A30" s="23" t="s">
        <v>20</v>
      </c>
      <c r="B30" s="24">
        <f>SUM(B24:B29)</f>
        <v>791198.25</v>
      </c>
      <c r="D30" s="24">
        <f>SUM(D24:D29)</f>
        <v>684593.09</v>
      </c>
      <c r="F30" s="4">
        <f>SUM(F24:F29)</f>
        <v>583886.31999999995</v>
      </c>
      <c r="H30" s="24">
        <f>SUM(H24:H29)</f>
        <v>274463.86</v>
      </c>
    </row>
    <row r="31" spans="1:8" x14ac:dyDescent="0.35">
      <c r="D31" s="24"/>
      <c r="F31" s="4"/>
      <c r="H31" s="24"/>
    </row>
    <row r="32" spans="1:8" x14ac:dyDescent="0.35">
      <c r="A32" s="23" t="s">
        <v>19</v>
      </c>
      <c r="B32" s="32">
        <v>137116.01999999999</v>
      </c>
      <c r="C32" s="33"/>
      <c r="D32" s="32">
        <v>148084.31</v>
      </c>
      <c r="E32" s="33"/>
      <c r="F32" s="7">
        <v>172644.21</v>
      </c>
      <c r="G32" s="33"/>
      <c r="H32" s="32">
        <v>112349</v>
      </c>
    </row>
    <row r="33" spans="1:8" x14ac:dyDescent="0.35">
      <c r="D33" s="24"/>
      <c r="F33" s="4"/>
      <c r="H33" s="24"/>
    </row>
    <row r="34" spans="1:8" x14ac:dyDescent="0.35">
      <c r="A34" s="23" t="s">
        <v>22</v>
      </c>
      <c r="D34" s="24"/>
      <c r="F34" s="4"/>
      <c r="H34" s="24"/>
    </row>
    <row r="35" spans="1:8" x14ac:dyDescent="0.35">
      <c r="A35" s="23" t="s">
        <v>23</v>
      </c>
      <c r="B35" s="24">
        <f>379566.98+42471.79</f>
        <v>422038.76999999996</v>
      </c>
      <c r="D35" s="24">
        <f>382358.68+42295.59</f>
        <v>424654.27</v>
      </c>
      <c r="F35" s="4">
        <f>388257.28+42005.72</f>
        <v>430263</v>
      </c>
      <c r="H35" s="24">
        <f>412631.99+40743.73</f>
        <v>453375.72</v>
      </c>
    </row>
    <row r="36" spans="1:8" x14ac:dyDescent="0.35">
      <c r="A36" s="23" t="s">
        <v>24</v>
      </c>
      <c r="B36" s="30">
        <f>-B29:B29</f>
        <v>-42471.79</v>
      </c>
      <c r="D36" s="30">
        <f>-D29</f>
        <v>-42295.59</v>
      </c>
      <c r="E36" s="34"/>
      <c r="F36" s="5">
        <f>-F29</f>
        <v>-42005.72</v>
      </c>
      <c r="G36" s="34"/>
      <c r="H36" s="30">
        <f>-H29:H29</f>
        <v>-40743.730000000003</v>
      </c>
    </row>
    <row r="37" spans="1:8" x14ac:dyDescent="0.35">
      <c r="A37" s="23" t="s">
        <v>25</v>
      </c>
      <c r="B37" s="35">
        <f>+B35+B36</f>
        <v>379566.98</v>
      </c>
      <c r="D37" s="35">
        <f>+D35+D36</f>
        <v>382358.68000000005</v>
      </c>
      <c r="F37" s="6">
        <f>+F35+F36</f>
        <v>388257.28000000003</v>
      </c>
      <c r="H37" s="35">
        <f>+H35+H36</f>
        <v>412631.99</v>
      </c>
    </row>
    <row r="38" spans="1:8" x14ac:dyDescent="0.35">
      <c r="D38" s="24"/>
      <c r="F38" s="4"/>
      <c r="H38" s="24"/>
    </row>
    <row r="39" spans="1:8" x14ac:dyDescent="0.35">
      <c r="A39" s="23" t="s">
        <v>8</v>
      </c>
      <c r="B39" s="24">
        <f>+B37+B32+B30</f>
        <v>1307881.25</v>
      </c>
      <c r="D39" s="24">
        <f>+D37+D32+D30</f>
        <v>1215036.08</v>
      </c>
      <c r="F39" s="4">
        <f>+F37+F32+F30</f>
        <v>1144787.81</v>
      </c>
      <c r="H39" s="24">
        <f>+H37+H32+H30</f>
        <v>799444.85</v>
      </c>
    </row>
    <row r="40" spans="1:8" x14ac:dyDescent="0.35">
      <c r="D40" s="24"/>
      <c r="F40" s="4"/>
      <c r="H40" s="24"/>
    </row>
    <row r="41" spans="1:8" x14ac:dyDescent="0.35">
      <c r="A41" s="23" t="s">
        <v>26</v>
      </c>
      <c r="D41" s="24"/>
      <c r="F41" s="4"/>
      <c r="H41" s="24"/>
    </row>
    <row r="42" spans="1:8" x14ac:dyDescent="0.35">
      <c r="A42" s="23" t="s">
        <v>27</v>
      </c>
      <c r="B42" s="24">
        <v>2447245.86</v>
      </c>
      <c r="D42" s="24">
        <v>2447245.86</v>
      </c>
      <c r="F42" s="13">
        <v>2447245.86</v>
      </c>
      <c r="H42" s="24">
        <v>2447245.86</v>
      </c>
    </row>
    <row r="43" spans="1:8" x14ac:dyDescent="0.35">
      <c r="A43" s="23" t="s">
        <v>28</v>
      </c>
      <c r="B43" s="24">
        <v>1309260.3</v>
      </c>
      <c r="D43" s="24">
        <v>1309260.3</v>
      </c>
      <c r="F43" s="13">
        <v>1486338.08</v>
      </c>
      <c r="H43" s="24">
        <v>1370979.6</v>
      </c>
    </row>
    <row r="44" spans="1:8" x14ac:dyDescent="0.35">
      <c r="A44" s="23" t="s">
        <v>33</v>
      </c>
      <c r="B44" s="30">
        <v>288206.11</v>
      </c>
      <c r="D44" s="30">
        <v>115084.61</v>
      </c>
      <c r="F44" s="14">
        <v>-191156.42</v>
      </c>
      <c r="H44" s="30">
        <v>-158954.17000000001</v>
      </c>
    </row>
    <row r="45" spans="1:8" x14ac:dyDescent="0.35">
      <c r="A45" s="23" t="s">
        <v>29</v>
      </c>
      <c r="B45" s="35">
        <f>+B42+B43+B44</f>
        <v>4044712.27</v>
      </c>
      <c r="D45" s="35">
        <f>+D42+D43+D44</f>
        <v>3871590.77</v>
      </c>
      <c r="F45" s="16">
        <f>+F42+F43+F44</f>
        <v>3742427.52</v>
      </c>
      <c r="H45" s="35">
        <f>+H42+H43+H44</f>
        <v>3659271.29</v>
      </c>
    </row>
    <row r="46" spans="1:8" x14ac:dyDescent="0.35">
      <c r="D46" s="24"/>
      <c r="F46" s="13"/>
      <c r="H46" s="24"/>
    </row>
    <row r="47" spans="1:8" ht="15" thickBot="1" x14ac:dyDescent="0.4">
      <c r="A47" s="23" t="s">
        <v>30</v>
      </c>
      <c r="B47" s="31">
        <f>B45+B39</f>
        <v>5352593.5199999996</v>
      </c>
      <c r="D47" s="31">
        <f>+D45+D39</f>
        <v>5086626.8499999996</v>
      </c>
      <c r="F47" s="15">
        <f>F45+F39</f>
        <v>4887215.33</v>
      </c>
      <c r="H47" s="31">
        <f>H45+H39</f>
        <v>4458716.1399999997</v>
      </c>
    </row>
    <row r="48" spans="1:8" ht="15" thickTop="1" x14ac:dyDescent="0.35"/>
  </sheetData>
  <pageMargins left="0.7" right="0.7" top="0.75" bottom="0.75" header="0.3" footer="0.3"/>
  <pageSetup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8"/>
  <sheetViews>
    <sheetView tabSelected="1" workbookViewId="0">
      <selection activeCell="B46" sqref="B46"/>
    </sheetView>
  </sheetViews>
  <sheetFormatPr defaultColWidth="9.1796875" defaultRowHeight="14.5" x14ac:dyDescent="0.35"/>
  <cols>
    <col min="1" max="1" width="31.81640625" style="23" customWidth="1"/>
    <col min="2" max="2" width="14.453125" style="24" bestFit="1" customWidth="1"/>
    <col min="3" max="3" width="9.1796875" style="23"/>
    <col min="4" max="4" width="14.54296875" style="25" customWidth="1"/>
    <col min="5" max="5" width="9.1796875" style="23"/>
    <col min="6" max="6" width="13.81640625" style="25" customWidth="1"/>
    <col min="7" max="7" width="9.1796875" style="23"/>
    <col min="8" max="8" width="13.81640625" style="25" customWidth="1"/>
    <col min="9" max="16384" width="9.1796875" style="23"/>
  </cols>
  <sheetData>
    <row r="1" spans="1:8" x14ac:dyDescent="0.35">
      <c r="A1" s="23" t="s">
        <v>31</v>
      </c>
    </row>
    <row r="2" spans="1:8" x14ac:dyDescent="0.35">
      <c r="A2" s="23" t="s">
        <v>32</v>
      </c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43951</v>
      </c>
      <c r="D4" s="28">
        <v>43921</v>
      </c>
      <c r="F4" s="28">
        <v>43830</v>
      </c>
      <c r="H4" s="28">
        <v>43585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B7" s="24">
        <f>61333.34+608.23-750.43+118.76+103+548.17</f>
        <v>61961.07</v>
      </c>
      <c r="D7" s="24">
        <f>105400.51+118.23+-750.43+118.76+103+700.92+11.96</f>
        <v>105702.95</v>
      </c>
      <c r="F7" s="4">
        <f>-14275.7+481.75+50.01+401.5+15925.27+70.51+123.95+720.53</f>
        <v>3497.8199999999997</v>
      </c>
      <c r="H7" s="24">
        <f>-165.96+270.39+191.45+1250.01+149+234.23+499.34+385.01+360.88</f>
        <v>3174.3500000000004</v>
      </c>
    </row>
    <row r="8" spans="1:8" x14ac:dyDescent="0.35">
      <c r="A8" s="23" t="s">
        <v>2</v>
      </c>
      <c r="B8" s="24">
        <v>443609.2</v>
      </c>
      <c r="D8" s="24">
        <v>365973.23</v>
      </c>
      <c r="F8" s="4">
        <v>180959.76</v>
      </c>
      <c r="H8" s="24">
        <v>44564.74</v>
      </c>
    </row>
    <row r="9" spans="1:8" x14ac:dyDescent="0.35">
      <c r="A9" s="23" t="s">
        <v>10</v>
      </c>
      <c r="B9" s="24">
        <v>11884.16</v>
      </c>
      <c r="D9" s="24">
        <v>11884.16</v>
      </c>
      <c r="F9" s="4">
        <v>10035.25</v>
      </c>
      <c r="H9" s="24">
        <v>9883.57</v>
      </c>
    </row>
    <row r="10" spans="1:8" x14ac:dyDescent="0.35">
      <c r="A10" s="23" t="s">
        <v>3</v>
      </c>
      <c r="B10" s="30">
        <f>3407.2+56803.81</f>
        <v>60211.009999999995</v>
      </c>
      <c r="D10" s="30">
        <f>63585.3+3407.2</f>
        <v>66992.5</v>
      </c>
      <c r="F10" s="5">
        <f>3407.2+154767.52</f>
        <v>158174.72</v>
      </c>
      <c r="H10" s="30">
        <f>3407.2+128968.04</f>
        <v>132375.24</v>
      </c>
    </row>
    <row r="11" spans="1:8" x14ac:dyDescent="0.35">
      <c r="A11" s="23" t="s">
        <v>11</v>
      </c>
      <c r="B11" s="24">
        <f>SUM(B7:B10)</f>
        <v>577665.43999999994</v>
      </c>
      <c r="D11" s="24">
        <f>SUM(D7:D10)</f>
        <v>550552.84</v>
      </c>
      <c r="F11" s="4">
        <f>SUM(F7:F10)</f>
        <v>352667.55000000005</v>
      </c>
      <c r="H11" s="24">
        <f>SUM(H7:H10)</f>
        <v>189997.9</v>
      </c>
    </row>
    <row r="12" spans="1:8" x14ac:dyDescent="0.35">
      <c r="D12" s="24"/>
      <c r="F12" s="4"/>
      <c r="H12" s="24"/>
    </row>
    <row r="13" spans="1:8" x14ac:dyDescent="0.35">
      <c r="A13" s="23" t="s">
        <v>38</v>
      </c>
      <c r="B13" s="24">
        <f>41069.2+3166.08+40640.04</f>
        <v>84875.32</v>
      </c>
      <c r="D13" s="24">
        <f>41076.44+3166.08+40636.71</f>
        <v>84879.23000000001</v>
      </c>
      <c r="F13" s="4">
        <f>23166.08+61625.35</f>
        <v>84791.43</v>
      </c>
      <c r="H13" s="24">
        <f>36302.82+33348.46+25043.86</f>
        <v>94695.14</v>
      </c>
    </row>
    <row r="14" spans="1:8" x14ac:dyDescent="0.35">
      <c r="D14" s="24"/>
      <c r="F14" s="4"/>
      <c r="H14" s="24"/>
    </row>
    <row r="15" spans="1:8" x14ac:dyDescent="0.35">
      <c r="A15" s="23" t="s">
        <v>4</v>
      </c>
      <c r="B15" s="24">
        <v>8097861.7400000002</v>
      </c>
      <c r="D15" s="24">
        <v>8012597.29</v>
      </c>
      <c r="F15" s="13">
        <v>7694874.4500000002</v>
      </c>
      <c r="H15" s="24">
        <v>7301058.6399999997</v>
      </c>
    </row>
    <row r="16" spans="1:8" x14ac:dyDescent="0.35">
      <c r="A16" s="23" t="s">
        <v>12</v>
      </c>
      <c r="B16" s="30">
        <v>-3312208.42</v>
      </c>
      <c r="D16" s="30">
        <v>-3295435.84</v>
      </c>
      <c r="F16" s="14">
        <v>-3245118.1</v>
      </c>
      <c r="H16" s="30">
        <v>-3115898.78</v>
      </c>
    </row>
    <row r="17" spans="1:8" x14ac:dyDescent="0.35">
      <c r="A17" s="23" t="s">
        <v>13</v>
      </c>
      <c r="B17" s="24">
        <f>+B15+B16</f>
        <v>4785653.32</v>
      </c>
      <c r="D17" s="24">
        <f>+D15+D16</f>
        <v>4717161.45</v>
      </c>
      <c r="F17" s="13">
        <f>+F15+F16</f>
        <v>4449756.3499999996</v>
      </c>
      <c r="H17" s="24">
        <f>+H15+H16</f>
        <v>4185159.86</v>
      </c>
    </row>
    <row r="18" spans="1:8" x14ac:dyDescent="0.35"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5448194.0800000001</v>
      </c>
      <c r="D19" s="31">
        <f>+D17+D11+D13</f>
        <v>5352593.5200000005</v>
      </c>
      <c r="F19" s="15">
        <f>+F17+F11+F13</f>
        <v>4887215.3299999991</v>
      </c>
      <c r="H19" s="31">
        <f>+H17+H11+H13</f>
        <v>4469852.8999999994</v>
      </c>
    </row>
    <row r="20" spans="1:8" ht="15" thickTop="1" x14ac:dyDescent="0.35">
      <c r="D20" s="24"/>
      <c r="F20" s="4"/>
      <c r="H20" s="24"/>
    </row>
    <row r="21" spans="1:8" x14ac:dyDescent="0.35">
      <c r="A21" s="23" t="s">
        <v>5</v>
      </c>
      <c r="D21" s="24"/>
      <c r="F21" s="4"/>
      <c r="H21" s="24"/>
    </row>
    <row r="22" spans="1:8" x14ac:dyDescent="0.35">
      <c r="A22" s="23" t="s">
        <v>15</v>
      </c>
      <c r="D22" s="24"/>
      <c r="F22" s="4"/>
      <c r="H22" s="24"/>
    </row>
    <row r="23" spans="1:8" x14ac:dyDescent="0.35">
      <c r="A23" s="23" t="s">
        <v>6</v>
      </c>
      <c r="D23" s="24"/>
      <c r="F23" s="4"/>
      <c r="H23" s="24"/>
    </row>
    <row r="24" spans="1:8" x14ac:dyDescent="0.35">
      <c r="A24" s="23" t="s">
        <v>7</v>
      </c>
      <c r="B24" s="24">
        <v>618601.15</v>
      </c>
      <c r="D24" s="24">
        <v>612958.30000000005</v>
      </c>
      <c r="F24" s="4">
        <v>391087.13</v>
      </c>
      <c r="H24" s="24">
        <v>102840.55</v>
      </c>
    </row>
    <row r="25" spans="1:8" x14ac:dyDescent="0.35">
      <c r="A25" s="23" t="s">
        <v>16</v>
      </c>
      <c r="B25" s="24">
        <v>4403</v>
      </c>
      <c r="D25" s="24">
        <f>5913.99+2892.23</f>
        <v>8806.2199999999993</v>
      </c>
      <c r="F25" s="4">
        <v>8173.97</v>
      </c>
      <c r="H25" s="24">
        <v>18544.18</v>
      </c>
    </row>
    <row r="26" spans="1:8" x14ac:dyDescent="0.35">
      <c r="A26" s="23" t="s">
        <v>17</v>
      </c>
      <c r="B26" s="24">
        <v>5317</v>
      </c>
      <c r="D26" s="24">
        <v>4346.3100000000004</v>
      </c>
      <c r="F26" s="4">
        <v>3071.87</v>
      </c>
      <c r="H26" s="24">
        <v>1756.12</v>
      </c>
    </row>
    <row r="27" spans="1:8" x14ac:dyDescent="0.35">
      <c r="A27" s="23" t="s">
        <v>18</v>
      </c>
      <c r="B27" s="24">
        <v>29357.67</v>
      </c>
      <c r="D27" s="24">
        <v>32343.45</v>
      </c>
      <c r="F27" s="4">
        <v>46449.46</v>
      </c>
      <c r="H27" s="24">
        <f>41193.29</f>
        <v>41193.29</v>
      </c>
    </row>
    <row r="28" spans="1:8" x14ac:dyDescent="0.35">
      <c r="A28" s="23" t="s">
        <v>39</v>
      </c>
      <c r="B28" s="24">
        <v>89837.83</v>
      </c>
      <c r="D28" s="24">
        <v>90272.18</v>
      </c>
      <c r="F28" s="4">
        <v>93098.17</v>
      </c>
      <c r="H28" s="24">
        <v>95508.86</v>
      </c>
    </row>
    <row r="29" spans="1:8" x14ac:dyDescent="0.35">
      <c r="A29" s="23" t="s">
        <v>21</v>
      </c>
      <c r="B29" s="30">
        <v>42618.080000000002</v>
      </c>
      <c r="D29" s="30">
        <v>42471.79</v>
      </c>
      <c r="F29" s="5">
        <v>42005.72</v>
      </c>
      <c r="H29" s="30">
        <v>40884.07</v>
      </c>
    </row>
    <row r="30" spans="1:8" x14ac:dyDescent="0.35">
      <c r="A30" s="23" t="s">
        <v>20</v>
      </c>
      <c r="B30" s="24">
        <f>SUM(B24:B29)</f>
        <v>790134.73</v>
      </c>
      <c r="D30" s="24">
        <f>SUM(D24:D29)</f>
        <v>791198.25</v>
      </c>
      <c r="F30" s="4">
        <f>SUM(F24:F29)</f>
        <v>583886.31999999995</v>
      </c>
      <c r="H30" s="24">
        <f>SUM(H24:H29)</f>
        <v>300727.07</v>
      </c>
    </row>
    <row r="31" spans="1:8" x14ac:dyDescent="0.35">
      <c r="D31" s="24"/>
      <c r="F31" s="4"/>
      <c r="H31" s="24"/>
    </row>
    <row r="32" spans="1:8" x14ac:dyDescent="0.35">
      <c r="A32" s="23" t="s">
        <v>19</v>
      </c>
      <c r="B32" s="32">
        <v>127233.13</v>
      </c>
      <c r="C32" s="33"/>
      <c r="D32" s="32">
        <v>137116.01999999999</v>
      </c>
      <c r="E32" s="33"/>
      <c r="F32" s="7">
        <v>172644.21</v>
      </c>
      <c r="G32" s="33"/>
      <c r="H32" s="32">
        <v>81960.649999999994</v>
      </c>
    </row>
    <row r="33" spans="1:8" x14ac:dyDescent="0.35">
      <c r="D33" s="24"/>
      <c r="F33" s="4"/>
      <c r="H33" s="24"/>
    </row>
    <row r="34" spans="1:8" x14ac:dyDescent="0.35">
      <c r="A34" s="23" t="s">
        <v>22</v>
      </c>
      <c r="D34" s="24"/>
      <c r="F34" s="4"/>
      <c r="H34" s="24"/>
    </row>
    <row r="35" spans="1:8" x14ac:dyDescent="0.35">
      <c r="A35" s="23" t="s">
        <v>23</v>
      </c>
      <c r="B35" s="24">
        <f>478317.64+42618.08</f>
        <v>520935.72000000003</v>
      </c>
      <c r="D35" s="24">
        <f>379566.98+42471.79</f>
        <v>422038.76999999996</v>
      </c>
      <c r="F35" s="4">
        <f>388257.28+42005.72</f>
        <v>430263</v>
      </c>
      <c r="H35" s="24">
        <f>409717.83+40884.07</f>
        <v>450601.9</v>
      </c>
    </row>
    <row r="36" spans="1:8" x14ac:dyDescent="0.35">
      <c r="A36" s="23" t="s">
        <v>24</v>
      </c>
      <c r="B36" s="30">
        <f>-B29</f>
        <v>-42618.080000000002</v>
      </c>
      <c r="D36" s="30">
        <f>-D29:D29</f>
        <v>-42471.79</v>
      </c>
      <c r="E36" s="34"/>
      <c r="F36" s="5">
        <f>-F29</f>
        <v>-42005.72</v>
      </c>
      <c r="G36" s="34"/>
      <c r="H36" s="30">
        <f>-H29</f>
        <v>-40884.07</v>
      </c>
    </row>
    <row r="37" spans="1:8" x14ac:dyDescent="0.35">
      <c r="A37" s="23" t="s">
        <v>25</v>
      </c>
      <c r="B37" s="35">
        <f>+B35+B36</f>
        <v>478317.64</v>
      </c>
      <c r="D37" s="35">
        <f>+D35+D36</f>
        <v>379566.98</v>
      </c>
      <c r="F37" s="6">
        <f>+F35+F36</f>
        <v>388257.28000000003</v>
      </c>
      <c r="H37" s="35">
        <f>+H35+H36</f>
        <v>409717.83</v>
      </c>
    </row>
    <row r="38" spans="1:8" x14ac:dyDescent="0.35">
      <c r="D38" s="24"/>
      <c r="F38" s="4"/>
      <c r="H38" s="24"/>
    </row>
    <row r="39" spans="1:8" x14ac:dyDescent="0.35">
      <c r="A39" s="23" t="s">
        <v>8</v>
      </c>
      <c r="B39" s="24">
        <f>+B37+B32+B30</f>
        <v>1395685.5</v>
      </c>
      <c r="D39" s="24">
        <f>+D37+D32+D30</f>
        <v>1307881.25</v>
      </c>
      <c r="F39" s="4">
        <f>+F37+F32+F30</f>
        <v>1144787.81</v>
      </c>
      <c r="H39" s="24">
        <f>+H37+H32+H30</f>
        <v>792405.55</v>
      </c>
    </row>
    <row r="40" spans="1:8" x14ac:dyDescent="0.35">
      <c r="D40" s="24"/>
      <c r="F40" s="4"/>
      <c r="H40" s="24"/>
    </row>
    <row r="41" spans="1:8" x14ac:dyDescent="0.35">
      <c r="A41" s="23" t="s">
        <v>26</v>
      </c>
      <c r="D41" s="24"/>
      <c r="F41" s="4"/>
      <c r="H41" s="24"/>
    </row>
    <row r="42" spans="1:8" x14ac:dyDescent="0.35">
      <c r="A42" s="23" t="s">
        <v>27</v>
      </c>
      <c r="B42" s="24">
        <v>2447245.86</v>
      </c>
      <c r="D42" s="24">
        <v>2447245.86</v>
      </c>
      <c r="F42" s="13">
        <v>2447245.86</v>
      </c>
      <c r="H42" s="24">
        <v>2447245.86</v>
      </c>
    </row>
    <row r="43" spans="1:8" x14ac:dyDescent="0.35">
      <c r="A43" s="23" t="s">
        <v>28</v>
      </c>
      <c r="B43" s="24">
        <v>1309260.3</v>
      </c>
      <c r="D43" s="24">
        <v>1309260.3</v>
      </c>
      <c r="F43" s="13">
        <v>1486338.08</v>
      </c>
      <c r="H43" s="24">
        <v>1370969.8</v>
      </c>
    </row>
    <row r="44" spans="1:8" x14ac:dyDescent="0.35">
      <c r="A44" s="23" t="s">
        <v>33</v>
      </c>
      <c r="B44" s="30">
        <v>296002.42</v>
      </c>
      <c r="D44" s="30">
        <v>288206.11</v>
      </c>
      <c r="F44" s="14">
        <v>-191156.42</v>
      </c>
      <c r="H44" s="30">
        <v>-140768.31</v>
      </c>
    </row>
    <row r="45" spans="1:8" x14ac:dyDescent="0.35">
      <c r="A45" s="23" t="s">
        <v>29</v>
      </c>
      <c r="B45" s="35">
        <f>+B42+B43+B44</f>
        <v>4052508.58</v>
      </c>
      <c r="D45" s="35">
        <f>+D42+D43+D44</f>
        <v>4044712.27</v>
      </c>
      <c r="F45" s="16">
        <f>+F42+F43+F44</f>
        <v>3742427.52</v>
      </c>
      <c r="H45" s="35">
        <f>+H42+H43+H44</f>
        <v>3677447.35</v>
      </c>
    </row>
    <row r="46" spans="1:8" x14ac:dyDescent="0.35">
      <c r="D46" s="24"/>
      <c r="F46" s="13"/>
      <c r="H46" s="24"/>
    </row>
    <row r="47" spans="1:8" ht="15" thickBot="1" x14ac:dyDescent="0.4">
      <c r="A47" s="23" t="s">
        <v>30</v>
      </c>
      <c r="B47" s="31">
        <f>B45+B39</f>
        <v>5448194.0800000001</v>
      </c>
      <c r="D47" s="31">
        <f>D45+D39</f>
        <v>5352593.5199999996</v>
      </c>
      <c r="F47" s="15">
        <f>F45+F39</f>
        <v>4887215.33</v>
      </c>
      <c r="H47" s="31">
        <f>H45+H39</f>
        <v>4469852.9000000004</v>
      </c>
    </row>
    <row r="48" spans="1:8" ht="15" thickTop="1" x14ac:dyDescent="0.35"/>
  </sheetData>
  <pageMargins left="0.7" right="0.7" top="0.75" bottom="0.75" header="0.3" footer="0.3"/>
  <pageSetup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8"/>
  <sheetViews>
    <sheetView topLeftCell="A19" workbookViewId="0">
      <selection activeCell="H4" sqref="H4:H47"/>
    </sheetView>
  </sheetViews>
  <sheetFormatPr defaultColWidth="9.1796875" defaultRowHeight="14.5" x14ac:dyDescent="0.35"/>
  <cols>
    <col min="1" max="1" width="31.81640625" style="23" customWidth="1"/>
    <col min="2" max="2" width="14" style="24" bestFit="1" customWidth="1"/>
    <col min="3" max="3" width="9.1796875" style="23"/>
    <col min="4" max="4" width="14.54296875" style="25" customWidth="1"/>
    <col min="5" max="5" width="9.1796875" style="23"/>
    <col min="6" max="6" width="13.81640625" style="25" customWidth="1"/>
    <col min="7" max="7" width="9.1796875" style="23"/>
    <col min="8" max="8" width="13.81640625" style="25" customWidth="1"/>
    <col min="9" max="16384" width="9.1796875" style="23"/>
  </cols>
  <sheetData>
    <row r="1" spans="1:8" x14ac:dyDescent="0.35">
      <c r="A1" s="23" t="s">
        <v>31</v>
      </c>
    </row>
    <row r="2" spans="1:8" x14ac:dyDescent="0.35">
      <c r="A2" s="23" t="s">
        <v>32</v>
      </c>
      <c r="B2" s="36"/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43251</v>
      </c>
      <c r="D4" s="28">
        <v>43220</v>
      </c>
      <c r="F4" s="28">
        <v>43830</v>
      </c>
      <c r="H4" s="28">
        <v>43616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D7" s="24"/>
      <c r="F7" s="4">
        <f>-14275.7+481.75+50.01+401.5+15925.27+70.51+123.95+720.53</f>
        <v>3497.8199999999997</v>
      </c>
      <c r="H7" s="24">
        <f>-4583.55+174.77+348.71+1139.28+178.26+234.23+499.34+482.55+409.43+7500</f>
        <v>6383.02</v>
      </c>
    </row>
    <row r="8" spans="1:8" x14ac:dyDescent="0.35">
      <c r="A8" s="23" t="s">
        <v>2</v>
      </c>
      <c r="D8" s="24"/>
      <c r="F8" s="4">
        <v>180959.76</v>
      </c>
      <c r="H8" s="24">
        <v>36908.730000000003</v>
      </c>
    </row>
    <row r="9" spans="1:8" x14ac:dyDescent="0.35">
      <c r="A9" s="23" t="s">
        <v>10</v>
      </c>
      <c r="D9" s="24"/>
      <c r="F9" s="4">
        <v>10035.25</v>
      </c>
      <c r="H9" s="24">
        <f>9359.21</f>
        <v>9359.2099999999991</v>
      </c>
    </row>
    <row r="10" spans="1:8" x14ac:dyDescent="0.35">
      <c r="A10" s="23" t="s">
        <v>3</v>
      </c>
      <c r="B10" s="30"/>
      <c r="D10" s="30"/>
      <c r="F10" s="5">
        <f>3407.2+154767.52</f>
        <v>158174.72</v>
      </c>
      <c r="H10" s="30">
        <f>3407.2+128968.04</f>
        <v>132375.24</v>
      </c>
    </row>
    <row r="11" spans="1:8" x14ac:dyDescent="0.35">
      <c r="B11" s="24">
        <f>SUM(B7:B10)</f>
        <v>0</v>
      </c>
      <c r="D11" s="24">
        <f>SUM(D7:D10)</f>
        <v>0</v>
      </c>
      <c r="F11" s="4">
        <f>SUM(F7:F10)</f>
        <v>352667.55000000005</v>
      </c>
      <c r="H11" s="24">
        <f>SUM(H7:H10)</f>
        <v>185026.19999999998</v>
      </c>
    </row>
    <row r="12" spans="1:8" x14ac:dyDescent="0.35">
      <c r="D12" s="24"/>
      <c r="F12" s="4"/>
      <c r="H12" s="24"/>
    </row>
    <row r="13" spans="1:8" x14ac:dyDescent="0.35">
      <c r="A13" s="23" t="s">
        <v>38</v>
      </c>
      <c r="D13" s="24"/>
      <c r="F13" s="4">
        <f>23166.08+61625.35</f>
        <v>84791.43</v>
      </c>
      <c r="H13" s="24">
        <f>22737.02+25701.83+25043.86-7500</f>
        <v>65982.710000000006</v>
      </c>
    </row>
    <row r="14" spans="1:8" x14ac:dyDescent="0.35">
      <c r="D14" s="24"/>
      <c r="F14" s="4"/>
      <c r="H14" s="24"/>
    </row>
    <row r="15" spans="1:8" x14ac:dyDescent="0.35">
      <c r="A15" s="23" t="s">
        <v>4</v>
      </c>
      <c r="D15" s="24"/>
      <c r="F15" s="13">
        <v>7694874.4500000002</v>
      </c>
      <c r="H15" s="24">
        <v>7301058.6399999997</v>
      </c>
    </row>
    <row r="16" spans="1:8" x14ac:dyDescent="0.35">
      <c r="A16" s="23" t="s">
        <v>12</v>
      </c>
      <c r="B16" s="30"/>
      <c r="D16" s="30"/>
      <c r="F16" s="14">
        <v>-3245118.1</v>
      </c>
      <c r="H16" s="30">
        <v>-3134804.2</v>
      </c>
    </row>
    <row r="17" spans="1:8" x14ac:dyDescent="0.35">
      <c r="A17" s="23" t="s">
        <v>13</v>
      </c>
      <c r="B17" s="24">
        <f>+B15+B16</f>
        <v>0</v>
      </c>
      <c r="D17" s="24">
        <f>+D15+D16</f>
        <v>0</v>
      </c>
      <c r="F17" s="13">
        <f>+F15+F16</f>
        <v>4449756.3499999996</v>
      </c>
      <c r="H17" s="24">
        <f>+H15+H16</f>
        <v>4166254.4399999995</v>
      </c>
    </row>
    <row r="18" spans="1:8" x14ac:dyDescent="0.35"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0</v>
      </c>
      <c r="D19" s="31">
        <f>+D17+D11+D13</f>
        <v>0</v>
      </c>
      <c r="F19" s="15">
        <f>+F17+F11+F13</f>
        <v>4887215.3299999991</v>
      </c>
      <c r="H19" s="31">
        <f>+H17+H11+H13</f>
        <v>4417263.3499999996</v>
      </c>
    </row>
    <row r="20" spans="1:8" ht="15" thickTop="1" x14ac:dyDescent="0.35">
      <c r="D20" s="24"/>
      <c r="F20" s="4"/>
      <c r="H20" s="24"/>
    </row>
    <row r="21" spans="1:8" x14ac:dyDescent="0.35">
      <c r="A21" s="23" t="s">
        <v>5</v>
      </c>
      <c r="D21" s="24"/>
      <c r="F21" s="4"/>
      <c r="H21" s="24"/>
    </row>
    <row r="22" spans="1:8" x14ac:dyDescent="0.35">
      <c r="A22" s="23" t="s">
        <v>15</v>
      </c>
      <c r="D22" s="24"/>
      <c r="F22" s="4"/>
      <c r="H22" s="24"/>
    </row>
    <row r="23" spans="1:8" x14ac:dyDescent="0.35">
      <c r="A23" s="23" t="s">
        <v>6</v>
      </c>
      <c r="D23" s="24"/>
      <c r="F23" s="4"/>
      <c r="H23" s="24"/>
    </row>
    <row r="24" spans="1:8" x14ac:dyDescent="0.35">
      <c r="A24" s="23" t="s">
        <v>7</v>
      </c>
      <c r="D24" s="24"/>
      <c r="F24" s="4">
        <v>391087.13</v>
      </c>
      <c r="H24" s="24">
        <v>132575.26999999999</v>
      </c>
    </row>
    <row r="25" spans="1:8" x14ac:dyDescent="0.35">
      <c r="A25" s="23" t="s">
        <v>16</v>
      </c>
      <c r="D25" s="24"/>
      <c r="F25" s="4">
        <v>8173.97</v>
      </c>
      <c r="H25" s="24">
        <v>10360.74</v>
      </c>
    </row>
    <row r="26" spans="1:8" x14ac:dyDescent="0.35">
      <c r="A26" s="23" t="s">
        <v>17</v>
      </c>
      <c r="D26" s="24"/>
      <c r="F26" s="4">
        <v>3071.87</v>
      </c>
      <c r="H26" s="24">
        <v>2534.69</v>
      </c>
    </row>
    <row r="27" spans="1:8" x14ac:dyDescent="0.35">
      <c r="A27" s="23" t="s">
        <v>18</v>
      </c>
      <c r="D27" s="24"/>
      <c r="F27" s="4">
        <v>46449.46</v>
      </c>
      <c r="H27" s="24">
        <v>44259.28</v>
      </c>
    </row>
    <row r="28" spans="1:8" x14ac:dyDescent="0.35">
      <c r="A28" s="23" t="s">
        <v>39</v>
      </c>
      <c r="D28" s="24"/>
      <c r="F28" s="4">
        <v>93098.17</v>
      </c>
      <c r="H28" s="24">
        <v>95508.86</v>
      </c>
    </row>
    <row r="29" spans="1:8" x14ac:dyDescent="0.35">
      <c r="A29" s="23" t="s">
        <v>21</v>
      </c>
      <c r="B29" s="30"/>
      <c r="D29" s="30"/>
      <c r="F29" s="5">
        <v>42005.72</v>
      </c>
      <c r="H29" s="30">
        <v>41020.35</v>
      </c>
    </row>
    <row r="30" spans="1:8" x14ac:dyDescent="0.35">
      <c r="A30" s="23" t="s">
        <v>20</v>
      </c>
      <c r="B30" s="24">
        <f>SUM(B24:B29)</f>
        <v>0</v>
      </c>
      <c r="D30" s="24">
        <f>SUM(D24:D29)</f>
        <v>0</v>
      </c>
      <c r="F30" s="4">
        <f>SUM(F24:F29)</f>
        <v>583886.31999999995</v>
      </c>
      <c r="H30" s="24">
        <f>SUM(H24:H29)</f>
        <v>326259.18999999994</v>
      </c>
    </row>
    <row r="31" spans="1:8" x14ac:dyDescent="0.35">
      <c r="D31" s="24"/>
      <c r="F31" s="4"/>
      <c r="H31" s="24"/>
    </row>
    <row r="32" spans="1:8" x14ac:dyDescent="0.35">
      <c r="A32" s="23" t="s">
        <v>19</v>
      </c>
      <c r="B32" s="32"/>
      <c r="C32" s="33"/>
      <c r="D32" s="32"/>
      <c r="E32" s="33"/>
      <c r="F32" s="7">
        <v>172644.21</v>
      </c>
      <c r="G32" s="33"/>
      <c r="H32" s="32">
        <v>64236.21</v>
      </c>
    </row>
    <row r="33" spans="1:8" x14ac:dyDescent="0.35">
      <c r="D33" s="24"/>
      <c r="F33" s="4"/>
      <c r="H33" s="24"/>
    </row>
    <row r="34" spans="1:8" x14ac:dyDescent="0.35">
      <c r="A34" s="23" t="s">
        <v>22</v>
      </c>
      <c r="D34" s="24"/>
      <c r="F34" s="4"/>
      <c r="H34" s="24"/>
    </row>
    <row r="35" spans="1:8" x14ac:dyDescent="0.35">
      <c r="A35" s="23" t="s">
        <v>23</v>
      </c>
      <c r="D35" s="24"/>
      <c r="F35" s="4">
        <f>388257.28+42005.72</f>
        <v>430263</v>
      </c>
      <c r="H35" s="24">
        <f>406476.5+41020.35</f>
        <v>447496.85</v>
      </c>
    </row>
    <row r="36" spans="1:8" x14ac:dyDescent="0.35">
      <c r="A36" s="23" t="s">
        <v>24</v>
      </c>
      <c r="B36" s="30">
        <f>-B29</f>
        <v>0</v>
      </c>
      <c r="D36" s="30">
        <f>-D29</f>
        <v>0</v>
      </c>
      <c r="E36" s="34"/>
      <c r="F36" s="5">
        <f>-F29</f>
        <v>-42005.72</v>
      </c>
      <c r="G36" s="34"/>
      <c r="H36" s="30">
        <f>-H29</f>
        <v>-41020.35</v>
      </c>
    </row>
    <row r="37" spans="1:8" x14ac:dyDescent="0.35">
      <c r="A37" s="23" t="s">
        <v>25</v>
      </c>
      <c r="B37" s="35">
        <f>+B35+B36</f>
        <v>0</v>
      </c>
      <c r="D37" s="35">
        <f>+D35+D36</f>
        <v>0</v>
      </c>
      <c r="F37" s="6">
        <f>+F35+F36</f>
        <v>388257.28000000003</v>
      </c>
      <c r="H37" s="35">
        <f>+H35+H36</f>
        <v>406476.5</v>
      </c>
    </row>
    <row r="38" spans="1:8" x14ac:dyDescent="0.35">
      <c r="D38" s="24"/>
      <c r="F38" s="4"/>
      <c r="H38" s="24"/>
    </row>
    <row r="39" spans="1:8" x14ac:dyDescent="0.35">
      <c r="A39" s="23" t="s">
        <v>8</v>
      </c>
      <c r="B39" s="24">
        <f>+B37+B32+B30</f>
        <v>0</v>
      </c>
      <c r="D39" s="24">
        <f>+D37+D32+D30</f>
        <v>0</v>
      </c>
      <c r="F39" s="4">
        <f>+F37+F32+F30</f>
        <v>1144787.81</v>
      </c>
      <c r="H39" s="24">
        <f>+H37+H32+H30</f>
        <v>796971.89999999991</v>
      </c>
    </row>
    <row r="40" spans="1:8" x14ac:dyDescent="0.35">
      <c r="D40" s="24"/>
      <c r="F40" s="4"/>
      <c r="H40" s="24"/>
    </row>
    <row r="41" spans="1:8" x14ac:dyDescent="0.35">
      <c r="A41" s="23" t="s">
        <v>26</v>
      </c>
      <c r="D41" s="24"/>
      <c r="F41" s="4"/>
      <c r="H41" s="24"/>
    </row>
    <row r="42" spans="1:8" x14ac:dyDescent="0.35">
      <c r="A42" s="23" t="s">
        <v>27</v>
      </c>
      <c r="D42" s="24"/>
      <c r="F42" s="13">
        <v>2447245.86</v>
      </c>
      <c r="H42" s="24">
        <v>2447245.86</v>
      </c>
    </row>
    <row r="43" spans="1:8" x14ac:dyDescent="0.35">
      <c r="A43" s="23" t="s">
        <v>28</v>
      </c>
      <c r="D43" s="24"/>
      <c r="F43" s="13">
        <v>1486338.08</v>
      </c>
      <c r="H43" s="24">
        <v>1369822.02</v>
      </c>
    </row>
    <row r="44" spans="1:8" x14ac:dyDescent="0.35">
      <c r="A44" s="23" t="s">
        <v>33</v>
      </c>
      <c r="B44" s="30"/>
      <c r="D44" s="30"/>
      <c r="F44" s="14">
        <v>-191156.42</v>
      </c>
      <c r="H44" s="30">
        <v>-196776.43</v>
      </c>
    </row>
    <row r="45" spans="1:8" x14ac:dyDescent="0.35">
      <c r="A45" s="23" t="s">
        <v>29</v>
      </c>
      <c r="B45" s="35">
        <f>+B42+B43+B44</f>
        <v>0</v>
      </c>
      <c r="D45" s="35">
        <f>+D42+D43+D44</f>
        <v>0</v>
      </c>
      <c r="F45" s="16">
        <f>+F42+F43+F44</f>
        <v>3742427.52</v>
      </c>
      <c r="H45" s="35">
        <f>+H42+H43+H44</f>
        <v>3620291.4499999997</v>
      </c>
    </row>
    <row r="46" spans="1:8" x14ac:dyDescent="0.35">
      <c r="D46" s="24"/>
      <c r="F46" s="13"/>
      <c r="H46" s="24"/>
    </row>
    <row r="47" spans="1:8" ht="15" thickBot="1" x14ac:dyDescent="0.4">
      <c r="A47" s="23" t="s">
        <v>30</v>
      </c>
      <c r="B47" s="31">
        <f>B45+B39</f>
        <v>0</v>
      </c>
      <c r="D47" s="31">
        <f>D45+D39</f>
        <v>0</v>
      </c>
      <c r="F47" s="15">
        <f>F45+F39</f>
        <v>4887215.33</v>
      </c>
      <c r="H47" s="31">
        <f>H45+H39</f>
        <v>4417263.3499999996</v>
      </c>
    </row>
    <row r="48" spans="1:8" ht="15" thickTop="1" x14ac:dyDescent="0.35"/>
  </sheetData>
  <pageMargins left="0.7" right="0.7" top="0.75" bottom="0.75" header="0.3" footer="0.3"/>
  <pageSetup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48"/>
  <sheetViews>
    <sheetView topLeftCell="A19" workbookViewId="0">
      <selection activeCell="H4" sqref="H4:H47"/>
    </sheetView>
  </sheetViews>
  <sheetFormatPr defaultColWidth="9.1796875" defaultRowHeight="14.5" x14ac:dyDescent="0.35"/>
  <cols>
    <col min="1" max="1" width="31.81640625" style="23" customWidth="1"/>
    <col min="2" max="2" width="14" style="24" bestFit="1" customWidth="1"/>
    <col min="3" max="3" width="9.1796875" style="23"/>
    <col min="4" max="4" width="14.54296875" style="25" customWidth="1"/>
    <col min="5" max="5" width="9.1796875" style="23"/>
    <col min="6" max="6" width="13.81640625" style="25" customWidth="1"/>
    <col min="7" max="7" width="9.1796875" style="23"/>
    <col min="8" max="8" width="13.81640625" style="25" customWidth="1"/>
    <col min="9" max="16384" width="9.1796875" style="23"/>
  </cols>
  <sheetData>
    <row r="1" spans="1:8" x14ac:dyDescent="0.35">
      <c r="A1" s="23" t="s">
        <v>31</v>
      </c>
    </row>
    <row r="2" spans="1:8" x14ac:dyDescent="0.35">
      <c r="A2" s="23" t="s">
        <v>32</v>
      </c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43281</v>
      </c>
      <c r="D4" s="28">
        <v>43251</v>
      </c>
      <c r="F4" s="28">
        <v>43830</v>
      </c>
      <c r="H4" s="28">
        <v>43646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D7" s="24"/>
      <c r="F7" s="4">
        <f>-14275.7+481.75+50.01+401.5+15925.27+70.51+123.95+720.53</f>
        <v>3497.8199999999997</v>
      </c>
      <c r="H7" s="24">
        <f>21741.02+284.44+94.71+1139.28+231.21+190.68+725.33+403.51+408.42</f>
        <v>25218.599999999995</v>
      </c>
    </row>
    <row r="8" spans="1:8" x14ac:dyDescent="0.35">
      <c r="A8" s="23" t="s">
        <v>2</v>
      </c>
      <c r="D8" s="24"/>
      <c r="F8" s="4">
        <v>180959.76</v>
      </c>
      <c r="H8" s="24">
        <v>42624.89</v>
      </c>
    </row>
    <row r="9" spans="1:8" x14ac:dyDescent="0.35">
      <c r="A9" s="23" t="s">
        <v>10</v>
      </c>
      <c r="D9" s="24"/>
      <c r="F9" s="4">
        <v>10035.25</v>
      </c>
      <c r="H9" s="24">
        <v>10357.33</v>
      </c>
    </row>
    <row r="10" spans="1:8" x14ac:dyDescent="0.35">
      <c r="A10" s="23" t="s">
        <v>3</v>
      </c>
      <c r="B10" s="30"/>
      <c r="D10" s="30"/>
      <c r="F10" s="5">
        <f>3407.2+154767.52</f>
        <v>158174.72</v>
      </c>
      <c r="H10" s="30">
        <f>3407.2+127024</f>
        <v>130431.2</v>
      </c>
    </row>
    <row r="11" spans="1:8" x14ac:dyDescent="0.35">
      <c r="A11" s="23" t="s">
        <v>11</v>
      </c>
      <c r="B11" s="24">
        <f>SUM(B7:B10)</f>
        <v>0</v>
      </c>
      <c r="D11" s="24">
        <f>SUM(D7:D10)</f>
        <v>0</v>
      </c>
      <c r="F11" s="4">
        <f>SUM(F7:F10)</f>
        <v>352667.55000000005</v>
      </c>
      <c r="H11" s="24">
        <f>SUM(H7:H10)</f>
        <v>208632.02</v>
      </c>
    </row>
    <row r="12" spans="1:8" x14ac:dyDescent="0.35">
      <c r="D12" s="24"/>
      <c r="F12" s="4"/>
      <c r="H12" s="24"/>
    </row>
    <row r="13" spans="1:8" x14ac:dyDescent="0.35">
      <c r="A13" s="23" t="s">
        <v>38</v>
      </c>
      <c r="D13" s="24"/>
      <c r="F13" s="4">
        <f>23166.08+61625.35</f>
        <v>84791.43</v>
      </c>
      <c r="H13" s="24">
        <f>15713.92+21155.63+21688.54</f>
        <v>58558.090000000004</v>
      </c>
    </row>
    <row r="14" spans="1:8" x14ac:dyDescent="0.35">
      <c r="D14" s="24"/>
      <c r="F14" s="4"/>
      <c r="H14" s="24"/>
    </row>
    <row r="15" spans="1:8" x14ac:dyDescent="0.35">
      <c r="A15" s="23" t="s">
        <v>4</v>
      </c>
      <c r="D15" s="24"/>
      <c r="F15" s="13">
        <v>7694874.4500000002</v>
      </c>
      <c r="H15" s="24">
        <v>7301058.6399999997</v>
      </c>
    </row>
    <row r="16" spans="1:8" x14ac:dyDescent="0.35">
      <c r="A16" s="23" t="s">
        <v>12</v>
      </c>
      <c r="B16" s="30"/>
      <c r="D16" s="30"/>
      <c r="F16" s="14">
        <v>-3245118.1</v>
      </c>
      <c r="H16" s="30">
        <v>-3153709.62</v>
      </c>
    </row>
    <row r="17" spans="1:8" x14ac:dyDescent="0.35">
      <c r="A17" s="23" t="s">
        <v>13</v>
      </c>
      <c r="B17" s="24">
        <f>+B15+B16</f>
        <v>0</v>
      </c>
      <c r="D17" s="24">
        <f>+D15+D16</f>
        <v>0</v>
      </c>
      <c r="F17" s="13">
        <f>+F15+F16</f>
        <v>4449756.3499999996</v>
      </c>
      <c r="H17" s="24">
        <f>+H15+H16</f>
        <v>4147349.0199999996</v>
      </c>
    </row>
    <row r="18" spans="1:8" x14ac:dyDescent="0.35"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0</v>
      </c>
      <c r="D19" s="31">
        <f>+D17+D11+D13</f>
        <v>0</v>
      </c>
      <c r="F19" s="15">
        <f>+F17+F11+F13</f>
        <v>4887215.3299999991</v>
      </c>
      <c r="H19" s="31">
        <f>+H17+H11+H13</f>
        <v>4414539.129999999</v>
      </c>
    </row>
    <row r="20" spans="1:8" ht="15" thickTop="1" x14ac:dyDescent="0.35">
      <c r="D20" s="24"/>
      <c r="F20" s="4"/>
      <c r="H20" s="24"/>
    </row>
    <row r="21" spans="1:8" x14ac:dyDescent="0.35">
      <c r="A21" s="23" t="s">
        <v>5</v>
      </c>
      <c r="D21" s="24"/>
      <c r="F21" s="4"/>
      <c r="H21" s="24"/>
    </row>
    <row r="22" spans="1:8" x14ac:dyDescent="0.35">
      <c r="A22" s="23" t="s">
        <v>15</v>
      </c>
      <c r="D22" s="24"/>
      <c r="F22" s="4"/>
      <c r="H22" s="24"/>
    </row>
    <row r="23" spans="1:8" x14ac:dyDescent="0.35">
      <c r="A23" s="23" t="s">
        <v>6</v>
      </c>
      <c r="D23" s="24"/>
      <c r="F23" s="4"/>
      <c r="H23" s="24"/>
    </row>
    <row r="24" spans="1:8" x14ac:dyDescent="0.35">
      <c r="A24" s="23" t="s">
        <v>7</v>
      </c>
      <c r="D24" s="24"/>
      <c r="F24" s="4">
        <v>391087.13</v>
      </c>
      <c r="H24" s="24">
        <v>157251.07999999999</v>
      </c>
    </row>
    <row r="25" spans="1:8" x14ac:dyDescent="0.35">
      <c r="A25" s="23" t="s">
        <v>16</v>
      </c>
      <c r="D25" s="24"/>
      <c r="F25" s="4">
        <v>8173.97</v>
      </c>
      <c r="H25" s="24">
        <v>9215.5300000000007</v>
      </c>
    </row>
    <row r="26" spans="1:8" x14ac:dyDescent="0.35">
      <c r="A26" s="23" t="s">
        <v>17</v>
      </c>
      <c r="D26" s="24"/>
      <c r="F26" s="4">
        <v>3071.87</v>
      </c>
      <c r="H26" s="24">
        <v>3404.66</v>
      </c>
    </row>
    <row r="27" spans="1:8" x14ac:dyDescent="0.35">
      <c r="A27" s="23" t="s">
        <v>18</v>
      </c>
      <c r="D27" s="24"/>
      <c r="F27" s="4">
        <v>46449.46</v>
      </c>
      <c r="H27" s="24">
        <v>47160.47</v>
      </c>
    </row>
    <row r="28" spans="1:8" x14ac:dyDescent="0.35">
      <c r="A28" s="23" t="s">
        <v>39</v>
      </c>
      <c r="D28" s="24"/>
      <c r="F28" s="4">
        <v>93098.17</v>
      </c>
      <c r="H28" s="24">
        <v>99340.47</v>
      </c>
    </row>
    <row r="29" spans="1:8" x14ac:dyDescent="0.35">
      <c r="A29" s="23" t="s">
        <v>21</v>
      </c>
      <c r="B29" s="30"/>
      <c r="D29" s="30"/>
      <c r="F29" s="5">
        <v>42005.72</v>
      </c>
      <c r="H29" s="30">
        <v>41161.65</v>
      </c>
    </row>
    <row r="30" spans="1:8" x14ac:dyDescent="0.35">
      <c r="A30" s="23" t="s">
        <v>20</v>
      </c>
      <c r="B30" s="24">
        <f>SUM(B24:B29)</f>
        <v>0</v>
      </c>
      <c r="D30" s="24">
        <f>SUM(D24:D29)</f>
        <v>0</v>
      </c>
      <c r="F30" s="4">
        <f>SUM(F24:F29)</f>
        <v>583886.31999999995</v>
      </c>
      <c r="H30" s="24">
        <f>SUM(H24:H29)</f>
        <v>357533.86</v>
      </c>
    </row>
    <row r="31" spans="1:8" x14ac:dyDescent="0.35">
      <c r="D31" s="24"/>
      <c r="F31" s="4"/>
      <c r="H31" s="24"/>
    </row>
    <row r="32" spans="1:8" x14ac:dyDescent="0.35">
      <c r="A32" s="23" t="s">
        <v>19</v>
      </c>
      <c r="B32" s="32"/>
      <c r="C32" s="33"/>
      <c r="D32" s="32"/>
      <c r="E32" s="33"/>
      <c r="F32" s="7">
        <v>172644.21</v>
      </c>
      <c r="G32" s="33"/>
      <c r="H32" s="32">
        <f>46957.09</f>
        <v>46957.09</v>
      </c>
    </row>
    <row r="33" spans="1:8" x14ac:dyDescent="0.35">
      <c r="D33" s="24"/>
      <c r="F33" s="4"/>
      <c r="H33" s="24"/>
    </row>
    <row r="34" spans="1:8" x14ac:dyDescent="0.35">
      <c r="A34" s="23" t="s">
        <v>22</v>
      </c>
      <c r="D34" s="24"/>
      <c r="F34" s="4"/>
      <c r="H34" s="24"/>
    </row>
    <row r="35" spans="1:8" x14ac:dyDescent="0.35">
      <c r="A35" s="23" t="s">
        <v>23</v>
      </c>
      <c r="D35" s="24"/>
      <c r="F35" s="4">
        <f>388257.28+42005.72</f>
        <v>430263</v>
      </c>
      <c r="H35" s="24">
        <f>403139.97+41161.65</f>
        <v>444301.62</v>
      </c>
    </row>
    <row r="36" spans="1:8" x14ac:dyDescent="0.35">
      <c r="A36" s="23" t="s">
        <v>24</v>
      </c>
      <c r="B36" s="30">
        <f>-B29</f>
        <v>0</v>
      </c>
      <c r="D36" s="30">
        <f>-D29</f>
        <v>0</v>
      </c>
      <c r="E36" s="34"/>
      <c r="F36" s="5">
        <f>-F29</f>
        <v>-42005.72</v>
      </c>
      <c r="G36" s="34"/>
      <c r="H36" s="30">
        <f>-H29</f>
        <v>-41161.65</v>
      </c>
    </row>
    <row r="37" spans="1:8" x14ac:dyDescent="0.35">
      <c r="A37" s="23" t="s">
        <v>25</v>
      </c>
      <c r="B37" s="35">
        <f>+B35+B36</f>
        <v>0</v>
      </c>
      <c r="D37" s="35">
        <f>+D35+D36</f>
        <v>0</v>
      </c>
      <c r="F37" s="6">
        <f>+F35+F36</f>
        <v>388257.28000000003</v>
      </c>
      <c r="H37" s="35">
        <f>+H35+H36</f>
        <v>403139.97</v>
      </c>
    </row>
    <row r="38" spans="1:8" x14ac:dyDescent="0.35">
      <c r="D38" s="24"/>
      <c r="F38" s="4"/>
      <c r="H38" s="24"/>
    </row>
    <row r="39" spans="1:8" x14ac:dyDescent="0.35">
      <c r="A39" s="23" t="s">
        <v>8</v>
      </c>
      <c r="B39" s="24">
        <f>+B37+B32+B30</f>
        <v>0</v>
      </c>
      <c r="D39" s="24">
        <f>+D37+D32+D30</f>
        <v>0</v>
      </c>
      <c r="F39" s="4">
        <f>+F37+F32+F30</f>
        <v>1144787.81</v>
      </c>
      <c r="H39" s="24">
        <f>+H37+H32+H30</f>
        <v>807630.91999999993</v>
      </c>
    </row>
    <row r="40" spans="1:8" x14ac:dyDescent="0.35">
      <c r="D40" s="24"/>
      <c r="F40" s="4"/>
      <c r="H40" s="24"/>
    </row>
    <row r="41" spans="1:8" x14ac:dyDescent="0.35">
      <c r="A41" s="23" t="s">
        <v>26</v>
      </c>
      <c r="D41" s="24"/>
      <c r="F41" s="4"/>
      <c r="H41" s="24"/>
    </row>
    <row r="42" spans="1:8" x14ac:dyDescent="0.35">
      <c r="A42" s="23" t="s">
        <v>27</v>
      </c>
      <c r="D42" s="24"/>
      <c r="F42" s="13">
        <v>2447245.86</v>
      </c>
      <c r="H42" s="24">
        <v>2447245.86</v>
      </c>
    </row>
    <row r="43" spans="1:8" x14ac:dyDescent="0.35">
      <c r="A43" s="23" t="s">
        <v>28</v>
      </c>
      <c r="D43" s="24"/>
      <c r="F43" s="13">
        <v>1486338.08</v>
      </c>
      <c r="H43" s="24">
        <v>1369517.33</v>
      </c>
    </row>
    <row r="44" spans="1:8" x14ac:dyDescent="0.35">
      <c r="A44" s="23" t="s">
        <v>33</v>
      </c>
      <c r="B44" s="30"/>
      <c r="D44" s="30"/>
      <c r="F44" s="14">
        <v>-191156.42</v>
      </c>
      <c r="H44" s="30">
        <v>-209854.98</v>
      </c>
    </row>
    <row r="45" spans="1:8" x14ac:dyDescent="0.35">
      <c r="A45" s="23" t="s">
        <v>29</v>
      </c>
      <c r="B45" s="35">
        <f>+B42+B43+B44</f>
        <v>0</v>
      </c>
      <c r="D45" s="35">
        <f>+D42+D43+D44</f>
        <v>0</v>
      </c>
      <c r="F45" s="16">
        <f>+F42+F43+F44</f>
        <v>3742427.52</v>
      </c>
      <c r="H45" s="35">
        <f>+H42+H43+H44</f>
        <v>3606908.21</v>
      </c>
    </row>
    <row r="46" spans="1:8" x14ac:dyDescent="0.35">
      <c r="D46" s="24"/>
      <c r="F46" s="13"/>
      <c r="H46" s="24"/>
    </row>
    <row r="47" spans="1:8" ht="15" thickBot="1" x14ac:dyDescent="0.4">
      <c r="A47" s="23" t="s">
        <v>30</v>
      </c>
      <c r="B47" s="31">
        <f>B45+B39</f>
        <v>0</v>
      </c>
      <c r="D47" s="31">
        <f>D45+D39</f>
        <v>0</v>
      </c>
      <c r="F47" s="15">
        <f>F45+F39</f>
        <v>4887215.33</v>
      </c>
      <c r="H47" s="31">
        <f>H45+H39</f>
        <v>4414539.13</v>
      </c>
    </row>
    <row r="48" spans="1:8" ht="15" thickTop="1" x14ac:dyDescent="0.35"/>
  </sheetData>
  <pageMargins left="0.7" right="0.7" top="0.75" bottom="0.75" header="0.3" footer="0.3"/>
  <pageSetup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48"/>
  <sheetViews>
    <sheetView workbookViewId="0">
      <selection activeCell="H4" sqref="H4:H47"/>
    </sheetView>
  </sheetViews>
  <sheetFormatPr defaultColWidth="9.1796875" defaultRowHeight="14.5" x14ac:dyDescent="0.35"/>
  <cols>
    <col min="1" max="1" width="31.81640625" style="23" customWidth="1"/>
    <col min="2" max="2" width="18.54296875" style="24" bestFit="1" customWidth="1"/>
    <col min="3" max="3" width="9.1796875" style="23"/>
    <col min="4" max="4" width="14.54296875" style="25" customWidth="1"/>
    <col min="5" max="5" width="9.1796875" style="23"/>
    <col min="6" max="6" width="13.81640625" style="25" customWidth="1"/>
    <col min="7" max="7" width="9.1796875" style="23"/>
    <col min="8" max="8" width="13.81640625" style="25" customWidth="1"/>
    <col min="9" max="16384" width="9.1796875" style="23"/>
  </cols>
  <sheetData>
    <row r="1" spans="1:8" x14ac:dyDescent="0.35">
      <c r="A1" s="23" t="s">
        <v>31</v>
      </c>
    </row>
    <row r="2" spans="1:8" x14ac:dyDescent="0.35">
      <c r="A2" s="23" t="s">
        <v>32</v>
      </c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43312</v>
      </c>
      <c r="D4" s="28">
        <v>43281</v>
      </c>
      <c r="F4" s="28">
        <v>43830</v>
      </c>
      <c r="H4" s="28">
        <v>43677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D7" s="24"/>
      <c r="F7" s="4">
        <f>-14275.7+481.75+50.01+401.5+15925.27+70.51+123.95+720.53</f>
        <v>3497.8199999999997</v>
      </c>
      <c r="H7" s="24">
        <f>-6594.02+568.85+75.01+3247.98+231.21+190.68+865.33+332.64+208.99+4000</f>
        <v>3126.67</v>
      </c>
    </row>
    <row r="8" spans="1:8" x14ac:dyDescent="0.35">
      <c r="A8" s="23" t="s">
        <v>2</v>
      </c>
      <c r="D8" s="24"/>
      <c r="F8" s="4">
        <v>180959.76</v>
      </c>
      <c r="H8" s="24">
        <v>53138.14</v>
      </c>
    </row>
    <row r="9" spans="1:8" x14ac:dyDescent="0.35">
      <c r="A9" s="23" t="s">
        <v>10</v>
      </c>
      <c r="D9" s="24"/>
      <c r="F9" s="4">
        <v>10035.25</v>
      </c>
      <c r="H9" s="24">
        <f>9349.38</f>
        <v>9349.3799999999992</v>
      </c>
    </row>
    <row r="10" spans="1:8" x14ac:dyDescent="0.35">
      <c r="A10" s="23" t="s">
        <v>3</v>
      </c>
      <c r="B10" s="30"/>
      <c r="D10" s="30"/>
      <c r="F10" s="5">
        <f>3407.2+154767.52</f>
        <v>158174.72</v>
      </c>
      <c r="H10" s="30">
        <f>3407.2-443.1+125523.06</f>
        <v>128487.16</v>
      </c>
    </row>
    <row r="11" spans="1:8" x14ac:dyDescent="0.35">
      <c r="A11" s="23" t="s">
        <v>11</v>
      </c>
      <c r="B11" s="24">
        <f>SUM(B7:B10)</f>
        <v>0</v>
      </c>
      <c r="D11" s="24">
        <f>SUM(D7:D10)</f>
        <v>0</v>
      </c>
      <c r="F11" s="4">
        <f>SUM(F7:F10)</f>
        <v>352667.55000000005</v>
      </c>
      <c r="H11" s="24">
        <f>SUM(H7:H10)</f>
        <v>194101.35</v>
      </c>
    </row>
    <row r="12" spans="1:8" x14ac:dyDescent="0.35">
      <c r="D12" s="24"/>
      <c r="F12" s="4"/>
      <c r="H12" s="24"/>
    </row>
    <row r="13" spans="1:8" x14ac:dyDescent="0.35">
      <c r="A13" s="23" t="s">
        <v>38</v>
      </c>
      <c r="D13" s="24"/>
      <c r="F13" s="4">
        <f>23166.08+61625.35</f>
        <v>84791.43</v>
      </c>
      <c r="H13" s="24">
        <f>11232.79-4000+14012.95+20742.21</f>
        <v>41987.95</v>
      </c>
    </row>
    <row r="14" spans="1:8" x14ac:dyDescent="0.35">
      <c r="D14" s="24"/>
      <c r="F14" s="4"/>
      <c r="H14" s="24"/>
    </row>
    <row r="15" spans="1:8" x14ac:dyDescent="0.35">
      <c r="A15" s="23" t="s">
        <v>4</v>
      </c>
      <c r="D15" s="24"/>
      <c r="F15" s="13">
        <v>7694874.4500000002</v>
      </c>
      <c r="H15" s="24">
        <v>7336158.0499999998</v>
      </c>
    </row>
    <row r="16" spans="1:8" x14ac:dyDescent="0.35">
      <c r="A16" s="23" t="s">
        <v>12</v>
      </c>
      <c r="B16" s="30"/>
      <c r="D16" s="30"/>
      <c r="F16" s="14">
        <v>-3245118.1</v>
      </c>
      <c r="H16" s="30">
        <f>-3172615.04</f>
        <v>-3172615.04</v>
      </c>
    </row>
    <row r="17" spans="1:8" x14ac:dyDescent="0.35">
      <c r="A17" s="23" t="s">
        <v>13</v>
      </c>
      <c r="B17" s="24">
        <f>+B15+B16</f>
        <v>0</v>
      </c>
      <c r="D17" s="24">
        <f>+D15+D16</f>
        <v>0</v>
      </c>
      <c r="F17" s="13">
        <f>+F15+F16</f>
        <v>4449756.3499999996</v>
      </c>
      <c r="H17" s="24">
        <f>+H15+H16</f>
        <v>4163543.01</v>
      </c>
    </row>
    <row r="18" spans="1:8" x14ac:dyDescent="0.35"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0</v>
      </c>
      <c r="D19" s="31">
        <f>+D17+D11+D13</f>
        <v>0</v>
      </c>
      <c r="E19" s="31"/>
      <c r="F19" s="15">
        <f>+F17+F11+F13</f>
        <v>4887215.3299999991</v>
      </c>
      <c r="G19" s="31"/>
      <c r="H19" s="31">
        <f>+H17+H11+H13</f>
        <v>4399632.3099999996</v>
      </c>
    </row>
    <row r="20" spans="1:8" ht="15" thickTop="1" x14ac:dyDescent="0.35">
      <c r="D20" s="24"/>
      <c r="F20" s="4"/>
      <c r="H20" s="24"/>
    </row>
    <row r="21" spans="1:8" x14ac:dyDescent="0.35">
      <c r="A21" s="23" t="s">
        <v>5</v>
      </c>
      <c r="D21" s="24"/>
      <c r="F21" s="4"/>
      <c r="H21" s="24"/>
    </row>
    <row r="22" spans="1:8" x14ac:dyDescent="0.35">
      <c r="A22" s="23" t="s">
        <v>15</v>
      </c>
      <c r="D22" s="24"/>
      <c r="F22" s="4"/>
      <c r="H22" s="24"/>
    </row>
    <row r="23" spans="1:8" x14ac:dyDescent="0.35">
      <c r="A23" s="23" t="s">
        <v>6</v>
      </c>
      <c r="D23" s="24"/>
      <c r="F23" s="4"/>
      <c r="H23" s="24"/>
    </row>
    <row r="24" spans="1:8" x14ac:dyDescent="0.35">
      <c r="A24" s="23" t="s">
        <v>7</v>
      </c>
      <c r="D24" s="24"/>
      <c r="F24" s="4">
        <v>391087.13</v>
      </c>
      <c r="H24" s="24">
        <v>201552.68</v>
      </c>
    </row>
    <row r="25" spans="1:8" x14ac:dyDescent="0.35">
      <c r="A25" s="23" t="s">
        <v>16</v>
      </c>
      <c r="D25" s="24"/>
      <c r="F25" s="4">
        <v>8173.97</v>
      </c>
      <c r="H25" s="24">
        <v>6325.26</v>
      </c>
    </row>
    <row r="26" spans="1:8" x14ac:dyDescent="0.35">
      <c r="A26" s="23" t="s">
        <v>17</v>
      </c>
      <c r="D26" s="24"/>
      <c r="F26" s="4">
        <v>3071.87</v>
      </c>
      <c r="H26" s="24">
        <v>2232.1799999999998</v>
      </c>
    </row>
    <row r="27" spans="1:8" x14ac:dyDescent="0.35">
      <c r="A27" s="23" t="s">
        <v>18</v>
      </c>
      <c r="D27" s="24"/>
      <c r="F27" s="4">
        <v>46449.46</v>
      </c>
      <c r="H27" s="24">
        <v>41662.75</v>
      </c>
    </row>
    <row r="28" spans="1:8" x14ac:dyDescent="0.35">
      <c r="A28" s="23" t="s">
        <v>39</v>
      </c>
      <c r="D28" s="24"/>
      <c r="F28" s="4">
        <v>93098.17</v>
      </c>
      <c r="H28" s="24">
        <v>98091.34</v>
      </c>
    </row>
    <row r="29" spans="1:8" x14ac:dyDescent="0.35">
      <c r="A29" s="23" t="s">
        <v>21</v>
      </c>
      <c r="B29" s="30"/>
      <c r="D29" s="30"/>
      <c r="F29" s="5">
        <v>42005.72</v>
      </c>
      <c r="H29" s="30">
        <v>41298.86</v>
      </c>
    </row>
    <row r="30" spans="1:8" x14ac:dyDescent="0.35">
      <c r="A30" s="23" t="s">
        <v>20</v>
      </c>
      <c r="B30" s="24">
        <f>SUM(B24:B29)</f>
        <v>0</v>
      </c>
      <c r="D30" s="24">
        <f>SUM(D24:D29)</f>
        <v>0</v>
      </c>
      <c r="F30" s="4">
        <f>SUM(F24:F29)</f>
        <v>583886.31999999995</v>
      </c>
      <c r="H30" s="24">
        <f>SUM(H24:H29)</f>
        <v>391163.06999999995</v>
      </c>
    </row>
    <row r="31" spans="1:8" x14ac:dyDescent="0.35">
      <c r="D31" s="24"/>
      <c r="F31" s="4"/>
      <c r="H31" s="24"/>
    </row>
    <row r="32" spans="1:8" x14ac:dyDescent="0.35">
      <c r="A32" s="23" t="s">
        <v>19</v>
      </c>
      <c r="B32" s="32"/>
      <c r="C32" s="33"/>
      <c r="D32" s="32"/>
      <c r="E32" s="33"/>
      <c r="F32" s="7">
        <v>172644.21</v>
      </c>
      <c r="G32" s="33"/>
      <c r="H32" s="32">
        <v>21108.07</v>
      </c>
    </row>
    <row r="33" spans="1:8" x14ac:dyDescent="0.35">
      <c r="D33" s="24"/>
      <c r="F33" s="4"/>
      <c r="H33" s="24"/>
    </row>
    <row r="34" spans="1:8" x14ac:dyDescent="0.35">
      <c r="A34" s="23" t="s">
        <v>22</v>
      </c>
      <c r="D34" s="24"/>
      <c r="F34" s="4"/>
      <c r="H34" s="24"/>
    </row>
    <row r="35" spans="1:8" x14ac:dyDescent="0.35">
      <c r="A35" s="23" t="s">
        <v>23</v>
      </c>
      <c r="D35" s="24"/>
      <c r="F35" s="4">
        <f>388257.28+42005.72</f>
        <v>430263</v>
      </c>
      <c r="H35" s="24">
        <f>400492.11+41298.86</f>
        <v>441790.97</v>
      </c>
    </row>
    <row r="36" spans="1:8" x14ac:dyDescent="0.35">
      <c r="A36" s="23" t="s">
        <v>24</v>
      </c>
      <c r="B36" s="30">
        <f>-B29</f>
        <v>0</v>
      </c>
      <c r="D36" s="30">
        <f>-D29</f>
        <v>0</v>
      </c>
      <c r="E36" s="34"/>
      <c r="F36" s="5">
        <f>-F29</f>
        <v>-42005.72</v>
      </c>
      <c r="G36" s="34"/>
      <c r="H36" s="30">
        <f>-H29</f>
        <v>-41298.86</v>
      </c>
    </row>
    <row r="37" spans="1:8" x14ac:dyDescent="0.35">
      <c r="A37" s="23" t="s">
        <v>25</v>
      </c>
      <c r="B37" s="35">
        <f>+B35+B36</f>
        <v>0</v>
      </c>
      <c r="D37" s="35">
        <f>+D35+D36</f>
        <v>0</v>
      </c>
      <c r="F37" s="6">
        <f>+F35+F36</f>
        <v>388257.28000000003</v>
      </c>
      <c r="H37" s="35">
        <f>+H35+H36</f>
        <v>400492.11</v>
      </c>
    </row>
    <row r="38" spans="1:8" x14ac:dyDescent="0.35">
      <c r="D38" s="24"/>
      <c r="F38" s="4"/>
      <c r="H38" s="24"/>
    </row>
    <row r="39" spans="1:8" x14ac:dyDescent="0.35">
      <c r="A39" s="23" t="s">
        <v>8</v>
      </c>
      <c r="B39" s="24">
        <f>+B37+B32+B30</f>
        <v>0</v>
      </c>
      <c r="D39" s="24">
        <f>+D37+D32+D30</f>
        <v>0</v>
      </c>
      <c r="F39" s="4">
        <f>+F37+F32+F30</f>
        <v>1144787.81</v>
      </c>
      <c r="H39" s="24">
        <f>+H37+H32+H30</f>
        <v>812763.25</v>
      </c>
    </row>
    <row r="40" spans="1:8" x14ac:dyDescent="0.35">
      <c r="D40" s="24"/>
      <c r="F40" s="4"/>
      <c r="H40" s="24"/>
    </row>
    <row r="41" spans="1:8" x14ac:dyDescent="0.35">
      <c r="A41" s="23" t="s">
        <v>26</v>
      </c>
      <c r="D41" s="24"/>
      <c r="F41" s="4"/>
      <c r="H41" s="24"/>
    </row>
    <row r="42" spans="1:8" x14ac:dyDescent="0.35">
      <c r="A42" s="23" t="s">
        <v>27</v>
      </c>
      <c r="D42" s="24"/>
      <c r="F42" s="13">
        <v>2447245.86</v>
      </c>
      <c r="H42" s="24">
        <v>2447245.86</v>
      </c>
    </row>
    <row r="43" spans="1:8" x14ac:dyDescent="0.35">
      <c r="A43" s="23" t="s">
        <v>28</v>
      </c>
      <c r="D43" s="24"/>
      <c r="F43" s="13">
        <v>1486338.08</v>
      </c>
      <c r="H43" s="24">
        <v>1369517.33</v>
      </c>
    </row>
    <row r="44" spans="1:8" x14ac:dyDescent="0.35">
      <c r="A44" s="23" t="s">
        <v>33</v>
      </c>
      <c r="B44" s="30"/>
      <c r="D44" s="30"/>
      <c r="F44" s="14">
        <v>-191156.42</v>
      </c>
      <c r="H44" s="30">
        <v>-229894.13</v>
      </c>
    </row>
    <row r="45" spans="1:8" x14ac:dyDescent="0.35">
      <c r="A45" s="23" t="s">
        <v>29</v>
      </c>
      <c r="B45" s="35">
        <f>+B42+B43+B44</f>
        <v>0</v>
      </c>
      <c r="D45" s="35">
        <f>+D42+D43+D44</f>
        <v>0</v>
      </c>
      <c r="F45" s="16">
        <f>+F42+F43+F44</f>
        <v>3742427.52</v>
      </c>
      <c r="H45" s="35">
        <f>+H42+H43+H44</f>
        <v>3586869.06</v>
      </c>
    </row>
    <row r="46" spans="1:8" x14ac:dyDescent="0.35">
      <c r="D46" s="24"/>
      <c r="F46" s="13"/>
      <c r="H46" s="24"/>
    </row>
    <row r="47" spans="1:8" ht="15" thickBot="1" x14ac:dyDescent="0.4">
      <c r="A47" s="23" t="s">
        <v>30</v>
      </c>
      <c r="B47" s="31">
        <f>B45+B39</f>
        <v>0</v>
      </c>
      <c r="D47" s="31">
        <f>D45+D39</f>
        <v>0</v>
      </c>
      <c r="F47" s="15">
        <f>F45+F39</f>
        <v>4887215.33</v>
      </c>
      <c r="H47" s="31">
        <f>H45+H39</f>
        <v>4399632.3100000005</v>
      </c>
    </row>
    <row r="48" spans="1:8" ht="15" thickTop="1" x14ac:dyDescent="0.35"/>
  </sheetData>
  <pageMargins left="0.7" right="0.7" top="0.75" bottom="0.75" header="0.3" footer="0.3"/>
  <pageSetup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48"/>
  <sheetViews>
    <sheetView workbookViewId="0">
      <selection activeCell="H4" sqref="H4:H47"/>
    </sheetView>
  </sheetViews>
  <sheetFormatPr defaultColWidth="9.1796875" defaultRowHeight="14.5" x14ac:dyDescent="0.35"/>
  <cols>
    <col min="1" max="1" width="31.81640625" style="23" customWidth="1"/>
    <col min="2" max="2" width="18.54296875" style="24" bestFit="1" customWidth="1"/>
    <col min="3" max="3" width="9.1796875" style="23"/>
    <col min="4" max="4" width="14.54296875" style="25" customWidth="1"/>
    <col min="5" max="5" width="9.1796875" style="23"/>
    <col min="6" max="6" width="13.81640625" style="25" customWidth="1"/>
    <col min="7" max="7" width="9.1796875" style="23"/>
    <col min="8" max="8" width="13.81640625" style="25" customWidth="1"/>
    <col min="9" max="16384" width="9.1796875" style="23"/>
  </cols>
  <sheetData>
    <row r="1" spans="1:8" x14ac:dyDescent="0.35">
      <c r="A1" s="23" t="s">
        <v>31</v>
      </c>
    </row>
    <row r="2" spans="1:8" x14ac:dyDescent="0.35">
      <c r="A2" s="23" t="s">
        <v>32</v>
      </c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43343</v>
      </c>
      <c r="D4" s="28">
        <v>43312</v>
      </c>
      <c r="F4" s="28">
        <v>43830</v>
      </c>
      <c r="H4" s="28">
        <v>43708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D7" s="24"/>
      <c r="F7" s="4">
        <f>-14275.7+481.75+50.01+401.5+15925.27+70.51+123.95+720.53</f>
        <v>3497.8199999999997</v>
      </c>
      <c r="H7" s="24">
        <f>17488.65+32.15+75.01+7.73+6190.19+360.33+190.68+1425.33+332.64+300.91</f>
        <v>26403.62</v>
      </c>
    </row>
    <row r="8" spans="1:8" x14ac:dyDescent="0.35">
      <c r="A8" s="23" t="s">
        <v>2</v>
      </c>
      <c r="D8" s="24"/>
      <c r="F8" s="4">
        <v>180959.76</v>
      </c>
      <c r="H8" s="24">
        <f>202661</f>
        <v>202661</v>
      </c>
    </row>
    <row r="9" spans="1:8" x14ac:dyDescent="0.35">
      <c r="A9" s="23" t="s">
        <v>10</v>
      </c>
      <c r="D9" s="24"/>
      <c r="F9" s="4">
        <v>10035.25</v>
      </c>
      <c r="H9" s="24">
        <f>11001.12</f>
        <v>11001.12</v>
      </c>
    </row>
    <row r="10" spans="1:8" x14ac:dyDescent="0.35">
      <c r="A10" s="23" t="s">
        <v>3</v>
      </c>
      <c r="B10" s="30"/>
      <c r="D10" s="30"/>
      <c r="F10" s="5">
        <f>3407.2+154767.52</f>
        <v>158174.72</v>
      </c>
      <c r="H10" s="30">
        <f>3407.2+140044.77</f>
        <v>143451.97</v>
      </c>
    </row>
    <row r="11" spans="1:8" x14ac:dyDescent="0.35">
      <c r="A11" s="23" t="s">
        <v>11</v>
      </c>
      <c r="B11" s="24">
        <f>SUM(B7:B10)</f>
        <v>0</v>
      </c>
      <c r="D11" s="24">
        <f>SUM(D7:D10)</f>
        <v>0</v>
      </c>
      <c r="F11" s="4">
        <f>SUM(F7:F10)</f>
        <v>352667.55000000005</v>
      </c>
      <c r="H11" s="24">
        <f>SUM(H7:H10)</f>
        <v>383517.70999999996</v>
      </c>
    </row>
    <row r="12" spans="1:8" x14ac:dyDescent="0.35">
      <c r="D12" s="24"/>
      <c r="F12" s="4"/>
      <c r="H12" s="24"/>
    </row>
    <row r="13" spans="1:8" x14ac:dyDescent="0.35">
      <c r="A13" s="23" t="s">
        <v>38</v>
      </c>
      <c r="D13" s="24"/>
      <c r="F13" s="4">
        <f>23166.08+61625.35</f>
        <v>84791.43</v>
      </c>
      <c r="H13" s="24">
        <f>17648.84+9198.38</f>
        <v>26847.22</v>
      </c>
    </row>
    <row r="14" spans="1:8" x14ac:dyDescent="0.35">
      <c r="D14" s="24"/>
      <c r="F14" s="4"/>
      <c r="H14" s="24"/>
    </row>
    <row r="15" spans="1:8" x14ac:dyDescent="0.35">
      <c r="A15" s="23" t="s">
        <v>4</v>
      </c>
      <c r="D15" s="24"/>
      <c r="F15" s="13">
        <v>7694874.4500000002</v>
      </c>
      <c r="H15" s="24">
        <v>7380028.6500000004</v>
      </c>
    </row>
    <row r="16" spans="1:8" x14ac:dyDescent="0.35">
      <c r="A16" s="23" t="s">
        <v>12</v>
      </c>
      <c r="B16" s="30"/>
      <c r="D16" s="30"/>
      <c r="F16" s="14">
        <v>-3245118.1</v>
      </c>
      <c r="H16" s="30">
        <v>-3191520.46</v>
      </c>
    </row>
    <row r="17" spans="1:8" x14ac:dyDescent="0.35">
      <c r="A17" s="23" t="s">
        <v>13</v>
      </c>
      <c r="B17" s="24">
        <f>+B15+B16</f>
        <v>0</v>
      </c>
      <c r="D17" s="24">
        <f>+D15+D16</f>
        <v>0</v>
      </c>
      <c r="F17" s="13">
        <f>+F15+F16</f>
        <v>4449756.3499999996</v>
      </c>
      <c r="H17" s="24">
        <f>+H15+H16</f>
        <v>4188508.1900000004</v>
      </c>
    </row>
    <row r="18" spans="1:8" x14ac:dyDescent="0.35"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0</v>
      </c>
      <c r="D19" s="31">
        <f>+D17+D11+D13</f>
        <v>0</v>
      </c>
      <c r="F19" s="15">
        <f>+F17+F11+F13</f>
        <v>4887215.3299999991</v>
      </c>
      <c r="H19" s="31">
        <f>+H17+H11+H13</f>
        <v>4598873.12</v>
      </c>
    </row>
    <row r="20" spans="1:8" ht="15" thickTop="1" x14ac:dyDescent="0.35">
      <c r="D20" s="24"/>
      <c r="F20" s="4"/>
      <c r="H20" s="24"/>
    </row>
    <row r="21" spans="1:8" x14ac:dyDescent="0.35">
      <c r="A21" s="23" t="s">
        <v>5</v>
      </c>
      <c r="D21" s="24"/>
      <c r="F21" s="4"/>
      <c r="H21" s="24"/>
    </row>
    <row r="22" spans="1:8" x14ac:dyDescent="0.35">
      <c r="A22" s="23" t="s">
        <v>15</v>
      </c>
      <c r="D22" s="24"/>
      <c r="F22" s="4"/>
      <c r="H22" s="24"/>
    </row>
    <row r="23" spans="1:8" x14ac:dyDescent="0.35">
      <c r="A23" s="23" t="s">
        <v>6</v>
      </c>
      <c r="D23" s="24"/>
      <c r="F23" s="4"/>
      <c r="H23" s="24"/>
    </row>
    <row r="24" spans="1:8" x14ac:dyDescent="0.35">
      <c r="A24" s="23" t="s">
        <v>7</v>
      </c>
      <c r="D24" s="24"/>
      <c r="F24" s="4">
        <v>391087.13</v>
      </c>
      <c r="H24" s="24">
        <v>235787.86</v>
      </c>
    </row>
    <row r="25" spans="1:8" x14ac:dyDescent="0.35">
      <c r="A25" s="23" t="s">
        <v>16</v>
      </c>
      <c r="D25" s="24"/>
      <c r="F25" s="4">
        <v>8173.97</v>
      </c>
      <c r="H25" s="24">
        <v>10660.16</v>
      </c>
    </row>
    <row r="26" spans="1:8" x14ac:dyDescent="0.35">
      <c r="A26" s="23" t="s">
        <v>17</v>
      </c>
      <c r="D26" s="24"/>
      <c r="F26" s="4">
        <v>3071.87</v>
      </c>
      <c r="H26" s="24">
        <v>2886.48</v>
      </c>
    </row>
    <row r="27" spans="1:8" x14ac:dyDescent="0.35">
      <c r="A27" s="23" t="s">
        <v>18</v>
      </c>
      <c r="D27" s="24"/>
      <c r="F27" s="4">
        <v>46449.46</v>
      </c>
      <c r="H27" s="24">
        <v>42780.160000000003</v>
      </c>
    </row>
    <row r="28" spans="1:8" x14ac:dyDescent="0.35">
      <c r="A28" s="23" t="s">
        <v>39</v>
      </c>
      <c r="D28" s="24"/>
      <c r="F28" s="4">
        <v>93098.17</v>
      </c>
      <c r="H28" s="24">
        <v>96805.1</v>
      </c>
    </row>
    <row r="29" spans="1:8" x14ac:dyDescent="0.35">
      <c r="A29" s="23" t="s">
        <v>21</v>
      </c>
      <c r="B29" s="30"/>
      <c r="D29" s="30"/>
      <c r="F29" s="5">
        <v>42005.72</v>
      </c>
      <c r="H29" s="30">
        <v>41441.11</v>
      </c>
    </row>
    <row r="30" spans="1:8" x14ac:dyDescent="0.35">
      <c r="A30" s="23" t="s">
        <v>20</v>
      </c>
      <c r="B30" s="24">
        <f>SUM(B24:B29)</f>
        <v>0</v>
      </c>
      <c r="D30" s="24">
        <f>SUM(D24:D29)</f>
        <v>0</v>
      </c>
      <c r="F30" s="4">
        <f>SUM(F24:F29)</f>
        <v>583886.31999999995</v>
      </c>
      <c r="H30" s="24">
        <f>SUM(H24:H29)</f>
        <v>430360.87</v>
      </c>
    </row>
    <row r="31" spans="1:8" x14ac:dyDescent="0.35">
      <c r="D31" s="24"/>
      <c r="F31" s="4"/>
      <c r="H31" s="24"/>
    </row>
    <row r="32" spans="1:8" x14ac:dyDescent="0.35">
      <c r="A32" s="23" t="s">
        <v>19</v>
      </c>
      <c r="B32" s="32"/>
      <c r="C32" s="33"/>
      <c r="D32" s="32"/>
      <c r="E32" s="33"/>
      <c r="F32" s="7">
        <v>172644.21</v>
      </c>
      <c r="G32" s="33"/>
      <c r="H32" s="32">
        <v>7002.67</v>
      </c>
    </row>
    <row r="33" spans="1:8" x14ac:dyDescent="0.35">
      <c r="D33" s="24"/>
      <c r="F33" s="4"/>
      <c r="H33" s="24"/>
    </row>
    <row r="34" spans="1:8" x14ac:dyDescent="0.35">
      <c r="A34" s="23" t="s">
        <v>22</v>
      </c>
      <c r="D34" s="24"/>
      <c r="F34" s="4"/>
      <c r="H34" s="24"/>
    </row>
    <row r="35" spans="1:8" x14ac:dyDescent="0.35">
      <c r="A35" s="23" t="s">
        <v>23</v>
      </c>
      <c r="D35" s="24"/>
      <c r="F35" s="4">
        <f>388257.28+42005.72</f>
        <v>430263</v>
      </c>
      <c r="H35" s="24">
        <f>397212.1+41441.11</f>
        <v>438653.20999999996</v>
      </c>
    </row>
    <row r="36" spans="1:8" x14ac:dyDescent="0.35">
      <c r="A36" s="23" t="s">
        <v>24</v>
      </c>
      <c r="B36" s="30">
        <f>-B29</f>
        <v>0</v>
      </c>
      <c r="D36" s="30">
        <f>-D29</f>
        <v>0</v>
      </c>
      <c r="E36" s="34"/>
      <c r="F36" s="5">
        <f>-F29</f>
        <v>-42005.72</v>
      </c>
      <c r="G36" s="34"/>
      <c r="H36" s="30">
        <f>-H29</f>
        <v>-41441.11</v>
      </c>
    </row>
    <row r="37" spans="1:8" x14ac:dyDescent="0.35">
      <c r="A37" s="23" t="s">
        <v>25</v>
      </c>
      <c r="B37" s="35">
        <f>+B35+B36</f>
        <v>0</v>
      </c>
      <c r="D37" s="35">
        <f>+D35+D36</f>
        <v>0</v>
      </c>
      <c r="F37" s="6">
        <f>+F35+F36</f>
        <v>388257.28000000003</v>
      </c>
      <c r="H37" s="35">
        <f>+H35+H36</f>
        <v>397212.1</v>
      </c>
    </row>
    <row r="38" spans="1:8" x14ac:dyDescent="0.35">
      <c r="D38" s="24"/>
      <c r="F38" s="4"/>
      <c r="H38" s="24"/>
    </row>
    <row r="39" spans="1:8" x14ac:dyDescent="0.35">
      <c r="A39" s="23" t="s">
        <v>8</v>
      </c>
      <c r="B39" s="24">
        <f>+B37+B32+B30</f>
        <v>0</v>
      </c>
      <c r="D39" s="24">
        <f>+D37+D32+D30</f>
        <v>0</v>
      </c>
      <c r="F39" s="4">
        <f>+F37+F32+F30</f>
        <v>1144787.81</v>
      </c>
      <c r="H39" s="24">
        <f>+H37+H32+H30</f>
        <v>834575.6399999999</v>
      </c>
    </row>
    <row r="40" spans="1:8" x14ac:dyDescent="0.35">
      <c r="D40" s="24"/>
      <c r="F40" s="4"/>
      <c r="H40" s="24"/>
    </row>
    <row r="41" spans="1:8" x14ac:dyDescent="0.35">
      <c r="A41" s="23" t="s">
        <v>26</v>
      </c>
      <c r="D41" s="24"/>
      <c r="F41" s="4"/>
      <c r="H41" s="24"/>
    </row>
    <row r="42" spans="1:8" x14ac:dyDescent="0.35">
      <c r="A42" s="23" t="s">
        <v>27</v>
      </c>
      <c r="D42" s="24"/>
      <c r="F42" s="13">
        <v>2447245.86</v>
      </c>
      <c r="H42" s="24">
        <v>2447245.86</v>
      </c>
    </row>
    <row r="43" spans="1:8" x14ac:dyDescent="0.35">
      <c r="A43" s="23" t="s">
        <v>28</v>
      </c>
      <c r="D43" s="24"/>
      <c r="F43" s="13">
        <v>1486338.08</v>
      </c>
      <c r="H43" s="24">
        <v>1369517.33</v>
      </c>
    </row>
    <row r="44" spans="1:8" x14ac:dyDescent="0.35">
      <c r="A44" s="23" t="s">
        <v>33</v>
      </c>
      <c r="B44" s="30"/>
      <c r="D44" s="30"/>
      <c r="F44" s="14">
        <v>-191156.42</v>
      </c>
      <c r="H44" s="30">
        <v>-52465.71</v>
      </c>
    </row>
    <row r="45" spans="1:8" x14ac:dyDescent="0.35">
      <c r="A45" s="23" t="s">
        <v>29</v>
      </c>
      <c r="B45" s="35">
        <f>+B42+B43+B44</f>
        <v>0</v>
      </c>
      <c r="D45" s="35">
        <f>+D42+D43+D44</f>
        <v>0</v>
      </c>
      <c r="F45" s="16">
        <f>+F42+F43+F44</f>
        <v>3742427.52</v>
      </c>
      <c r="H45" s="35">
        <f>+H42+H43+H44</f>
        <v>3764297.48</v>
      </c>
    </row>
    <row r="46" spans="1:8" x14ac:dyDescent="0.35">
      <c r="D46" s="24"/>
      <c r="F46" s="13"/>
      <c r="H46" s="24"/>
    </row>
    <row r="47" spans="1:8" ht="15" thickBot="1" x14ac:dyDescent="0.4">
      <c r="A47" s="23" t="s">
        <v>30</v>
      </c>
      <c r="B47" s="31">
        <f>B45+B39</f>
        <v>0</v>
      </c>
      <c r="D47" s="31">
        <f>D45+D39</f>
        <v>0</v>
      </c>
      <c r="F47" s="15">
        <f>F45+F39</f>
        <v>4887215.33</v>
      </c>
      <c r="H47" s="31">
        <f>H45+H39</f>
        <v>4598873.12</v>
      </c>
    </row>
    <row r="48" spans="1:8" ht="15" thickTop="1" x14ac:dyDescent="0.35"/>
  </sheetData>
  <pageMargins left="0.7" right="0.7" top="0.75" bottom="0.75" header="0.3" footer="0.3"/>
  <pageSetup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48"/>
  <sheetViews>
    <sheetView workbookViewId="0">
      <selection activeCell="H4" sqref="H4:H47"/>
    </sheetView>
  </sheetViews>
  <sheetFormatPr defaultColWidth="9.1796875" defaultRowHeight="14.5" x14ac:dyDescent="0.35"/>
  <cols>
    <col min="1" max="1" width="31.81640625" style="23" customWidth="1"/>
    <col min="2" max="2" width="18.54296875" style="24" bestFit="1" customWidth="1"/>
    <col min="3" max="3" width="9.1796875" style="23"/>
    <col min="4" max="4" width="14.54296875" style="25" customWidth="1"/>
    <col min="5" max="5" width="9.1796875" style="23"/>
    <col min="6" max="6" width="13.81640625" style="25" customWidth="1"/>
    <col min="7" max="7" width="9.1796875" style="23"/>
    <col min="8" max="8" width="13.81640625" style="25" customWidth="1"/>
    <col min="9" max="16384" width="9.1796875" style="23"/>
  </cols>
  <sheetData>
    <row r="1" spans="1:8" x14ac:dyDescent="0.35">
      <c r="A1" s="23" t="s">
        <v>31</v>
      </c>
    </row>
    <row r="2" spans="1:8" x14ac:dyDescent="0.35">
      <c r="A2" s="23" t="s">
        <v>32</v>
      </c>
    </row>
    <row r="3" spans="1:8" ht="29" x14ac:dyDescent="0.35">
      <c r="B3" s="26" t="s">
        <v>34</v>
      </c>
      <c r="D3" s="27" t="s">
        <v>35</v>
      </c>
      <c r="F3" s="27" t="s">
        <v>36</v>
      </c>
      <c r="H3" s="27" t="s">
        <v>37</v>
      </c>
    </row>
    <row r="4" spans="1:8" x14ac:dyDescent="0.35">
      <c r="B4" s="28">
        <v>43373</v>
      </c>
      <c r="D4" s="28">
        <v>43343</v>
      </c>
      <c r="F4" s="28">
        <v>43830</v>
      </c>
      <c r="H4" s="28">
        <v>43738</v>
      </c>
    </row>
    <row r="5" spans="1:8" x14ac:dyDescent="0.35">
      <c r="A5" s="23" t="s">
        <v>0</v>
      </c>
      <c r="B5" s="28"/>
      <c r="D5" s="28"/>
      <c r="F5" s="28"/>
      <c r="H5" s="28"/>
    </row>
    <row r="6" spans="1:8" x14ac:dyDescent="0.35">
      <c r="A6" s="23" t="s">
        <v>1</v>
      </c>
      <c r="B6" s="29"/>
      <c r="D6" s="29"/>
      <c r="F6" s="29"/>
      <c r="H6" s="29"/>
    </row>
    <row r="7" spans="1:8" x14ac:dyDescent="0.35">
      <c r="A7" s="23" t="s">
        <v>9</v>
      </c>
      <c r="D7" s="24"/>
      <c r="F7" s="4">
        <f>-14275.7+481.75+50.01+401.5+15925.27+70.51+123.95+720.53</f>
        <v>3497.8199999999997</v>
      </c>
      <c r="H7" s="24">
        <f>-55269.31+706.45+65.01+1412.52+12648.99+28.32+190.68+728.37+29.24+99.16+22000</f>
        <v>-17360.57</v>
      </c>
    </row>
    <row r="8" spans="1:8" x14ac:dyDescent="0.35">
      <c r="A8" s="23" t="s">
        <v>2</v>
      </c>
      <c r="D8" s="24"/>
      <c r="F8" s="4">
        <v>180959.76</v>
      </c>
      <c r="H8" s="24">
        <v>218981.05</v>
      </c>
    </row>
    <row r="9" spans="1:8" x14ac:dyDescent="0.35">
      <c r="A9" s="23" t="s">
        <v>10</v>
      </c>
      <c r="D9" s="24"/>
      <c r="F9" s="4">
        <v>10035.25</v>
      </c>
      <c r="H9" s="24">
        <v>10560.6</v>
      </c>
    </row>
    <row r="10" spans="1:8" x14ac:dyDescent="0.35">
      <c r="A10" s="23" t="s">
        <v>3</v>
      </c>
      <c r="B10" s="30"/>
      <c r="D10" s="30"/>
      <c r="F10" s="5">
        <f>3407.2+154767.52</f>
        <v>158174.72</v>
      </c>
      <c r="H10" s="30">
        <f>3407.2+131532.41</f>
        <v>134939.61000000002</v>
      </c>
    </row>
    <row r="11" spans="1:8" x14ac:dyDescent="0.35">
      <c r="A11" s="23" t="s">
        <v>11</v>
      </c>
      <c r="B11" s="24">
        <f>SUM(B7:B10)</f>
        <v>0</v>
      </c>
      <c r="D11" s="24">
        <f>SUM(D7:D10)</f>
        <v>0</v>
      </c>
      <c r="F11" s="4">
        <f>SUM(F7:F10)</f>
        <v>352667.55000000005</v>
      </c>
      <c r="H11" s="24">
        <f>SUM(H7:H10)</f>
        <v>347120.69</v>
      </c>
    </row>
    <row r="12" spans="1:8" x14ac:dyDescent="0.35">
      <c r="D12" s="24"/>
      <c r="F12" s="4"/>
      <c r="H12" s="24"/>
    </row>
    <row r="13" spans="1:8" x14ac:dyDescent="0.35">
      <c r="A13" s="23" t="s">
        <v>38</v>
      </c>
      <c r="D13" s="24"/>
      <c r="F13" s="4">
        <f>23166.08+61625.35</f>
        <v>84791.43</v>
      </c>
      <c r="H13" s="24">
        <f>25369.08+179007.96-22000</f>
        <v>182377.03999999998</v>
      </c>
    </row>
    <row r="14" spans="1:8" x14ac:dyDescent="0.35">
      <c r="D14" s="24"/>
      <c r="F14" s="4"/>
      <c r="H14" s="24"/>
    </row>
    <row r="15" spans="1:8" x14ac:dyDescent="0.35">
      <c r="A15" s="23" t="s">
        <v>4</v>
      </c>
      <c r="D15" s="24"/>
      <c r="F15" s="13">
        <v>7694874.4500000002</v>
      </c>
      <c r="H15" s="24">
        <v>7411910.25</v>
      </c>
    </row>
    <row r="16" spans="1:8" x14ac:dyDescent="0.35">
      <c r="A16" s="23" t="s">
        <v>12</v>
      </c>
      <c r="B16" s="30"/>
      <c r="D16" s="30"/>
      <c r="F16" s="14">
        <v>-3245118.1</v>
      </c>
      <c r="H16" s="30">
        <v>-3210425.88</v>
      </c>
    </row>
    <row r="17" spans="1:8" x14ac:dyDescent="0.35">
      <c r="A17" s="23" t="s">
        <v>13</v>
      </c>
      <c r="B17" s="24">
        <f>+B15+B16</f>
        <v>0</v>
      </c>
      <c r="D17" s="24">
        <f>+D15+D16</f>
        <v>0</v>
      </c>
      <c r="F17" s="13">
        <f>+F15+F16</f>
        <v>4449756.3499999996</v>
      </c>
      <c r="H17" s="24">
        <f>+H15+H16</f>
        <v>4201484.37</v>
      </c>
    </row>
    <row r="18" spans="1:8" x14ac:dyDescent="0.35">
      <c r="D18" s="24"/>
      <c r="F18" s="13"/>
      <c r="H18" s="24"/>
    </row>
    <row r="19" spans="1:8" ht="15" thickBot="1" x14ac:dyDescent="0.4">
      <c r="A19" s="23" t="s">
        <v>14</v>
      </c>
      <c r="B19" s="31">
        <f>+B17+B11+B13</f>
        <v>0</v>
      </c>
      <c r="D19" s="31">
        <f>+D17+D11+D13</f>
        <v>0</v>
      </c>
      <c r="F19" s="15">
        <f>+F17+F11+F13</f>
        <v>4887215.3299999991</v>
      </c>
      <c r="H19" s="31">
        <f>+H17+H11+H13</f>
        <v>4730982.1000000006</v>
      </c>
    </row>
    <row r="20" spans="1:8" ht="15" thickTop="1" x14ac:dyDescent="0.35">
      <c r="D20" s="24"/>
      <c r="F20" s="4"/>
      <c r="H20" s="24"/>
    </row>
    <row r="21" spans="1:8" x14ac:dyDescent="0.35">
      <c r="A21" s="23" t="s">
        <v>5</v>
      </c>
      <c r="D21" s="24"/>
      <c r="F21" s="4"/>
      <c r="H21" s="24"/>
    </row>
    <row r="22" spans="1:8" x14ac:dyDescent="0.35">
      <c r="A22" s="23" t="s">
        <v>15</v>
      </c>
      <c r="D22" s="24"/>
      <c r="F22" s="4"/>
      <c r="H22" s="24"/>
    </row>
    <row r="23" spans="1:8" x14ac:dyDescent="0.35">
      <c r="A23" s="23" t="s">
        <v>6</v>
      </c>
      <c r="D23" s="24"/>
      <c r="F23" s="4"/>
      <c r="H23" s="24"/>
    </row>
    <row r="24" spans="1:8" x14ac:dyDescent="0.35">
      <c r="A24" s="23" t="s">
        <v>7</v>
      </c>
      <c r="D24" s="24"/>
      <c r="F24" s="4">
        <v>391087.13</v>
      </c>
      <c r="H24" s="24">
        <v>200180.97</v>
      </c>
    </row>
    <row r="25" spans="1:8" x14ac:dyDescent="0.35">
      <c r="A25" s="23" t="s">
        <v>16</v>
      </c>
      <c r="D25" s="24"/>
      <c r="F25" s="4">
        <v>8173.97</v>
      </c>
      <c r="H25" s="24">
        <f>4146.83+1127.98+2978.15</f>
        <v>8252.9599999999991</v>
      </c>
    </row>
    <row r="26" spans="1:8" x14ac:dyDescent="0.35">
      <c r="A26" s="23" t="s">
        <v>17</v>
      </c>
      <c r="D26" s="24"/>
      <c r="F26" s="4">
        <v>3071.87</v>
      </c>
      <c r="H26" s="24">
        <v>3358.41</v>
      </c>
    </row>
    <row r="27" spans="1:8" x14ac:dyDescent="0.35">
      <c r="A27" s="23" t="s">
        <v>18</v>
      </c>
      <c r="D27" s="24"/>
      <c r="F27" s="4">
        <v>46449.46</v>
      </c>
      <c r="H27" s="24">
        <v>44528.87</v>
      </c>
    </row>
    <row r="28" spans="1:8" x14ac:dyDescent="0.35">
      <c r="A28" s="23" t="s">
        <v>39</v>
      </c>
      <c r="D28" s="24"/>
      <c r="F28" s="4">
        <v>93098.17</v>
      </c>
      <c r="H28" s="24">
        <v>95478.87</v>
      </c>
    </row>
    <row r="29" spans="1:8" x14ac:dyDescent="0.35">
      <c r="A29" s="23" t="s">
        <v>21</v>
      </c>
      <c r="B29" s="30"/>
      <c r="D29" s="30"/>
      <c r="F29" s="5">
        <v>42005.72</v>
      </c>
      <c r="H29" s="30">
        <v>41583.85</v>
      </c>
    </row>
    <row r="30" spans="1:8" x14ac:dyDescent="0.35">
      <c r="A30" s="23" t="s">
        <v>20</v>
      </c>
      <c r="B30" s="24">
        <f>SUM(B24:B29)</f>
        <v>0</v>
      </c>
      <c r="D30" s="24">
        <f>SUM(D24:D29)</f>
        <v>0</v>
      </c>
      <c r="F30" s="4">
        <f>SUM(F24:F29)</f>
        <v>583886.31999999995</v>
      </c>
      <c r="H30" s="24">
        <f>SUM(H24:H29)</f>
        <v>393383.92999999993</v>
      </c>
    </row>
    <row r="31" spans="1:8" x14ac:dyDescent="0.35">
      <c r="D31" s="24"/>
      <c r="F31" s="4"/>
      <c r="H31" s="24"/>
    </row>
    <row r="32" spans="1:8" x14ac:dyDescent="0.35">
      <c r="A32" s="23" t="s">
        <v>19</v>
      </c>
      <c r="B32" s="32"/>
      <c r="C32" s="33"/>
      <c r="D32" s="32"/>
      <c r="E32" s="33"/>
      <c r="F32" s="7">
        <v>172644.21</v>
      </c>
      <c r="G32" s="33"/>
      <c r="H32" s="32">
        <v>210699.74</v>
      </c>
    </row>
    <row r="33" spans="1:8" x14ac:dyDescent="0.35">
      <c r="D33" s="24"/>
      <c r="F33" s="4"/>
      <c r="H33" s="24"/>
    </row>
    <row r="34" spans="1:8" x14ac:dyDescent="0.35">
      <c r="A34" s="23" t="s">
        <v>22</v>
      </c>
      <c r="D34" s="24"/>
      <c r="F34" s="4"/>
      <c r="H34" s="24"/>
    </row>
    <row r="35" spans="1:8" x14ac:dyDescent="0.35">
      <c r="A35" s="23" t="s">
        <v>23</v>
      </c>
      <c r="D35" s="24"/>
      <c r="F35" s="4">
        <f>388257.28+42005.72</f>
        <v>430263</v>
      </c>
      <c r="H35" s="24">
        <f>393775.2+41583.85</f>
        <v>435359.05</v>
      </c>
    </row>
    <row r="36" spans="1:8" x14ac:dyDescent="0.35">
      <c r="A36" s="23" t="s">
        <v>24</v>
      </c>
      <c r="B36" s="30">
        <f>-B29</f>
        <v>0</v>
      </c>
      <c r="D36" s="30">
        <f>-D29</f>
        <v>0</v>
      </c>
      <c r="E36" s="34"/>
      <c r="F36" s="5">
        <f>-F29</f>
        <v>-42005.72</v>
      </c>
      <c r="G36" s="34"/>
      <c r="H36" s="30">
        <f>-H29</f>
        <v>-41583.85</v>
      </c>
    </row>
    <row r="37" spans="1:8" x14ac:dyDescent="0.35">
      <c r="A37" s="23" t="s">
        <v>25</v>
      </c>
      <c r="B37" s="35">
        <f>+B35+B36</f>
        <v>0</v>
      </c>
      <c r="D37" s="35">
        <f>+D35+D36</f>
        <v>0</v>
      </c>
      <c r="F37" s="6">
        <f>+F35+F36</f>
        <v>388257.28000000003</v>
      </c>
      <c r="H37" s="35">
        <f>+H35+H36</f>
        <v>393775.2</v>
      </c>
    </row>
    <row r="38" spans="1:8" x14ac:dyDescent="0.35">
      <c r="D38" s="24"/>
      <c r="F38" s="4"/>
      <c r="H38" s="24"/>
    </row>
    <row r="39" spans="1:8" x14ac:dyDescent="0.35">
      <c r="A39" s="23" t="s">
        <v>8</v>
      </c>
      <c r="B39" s="24">
        <f>+B37+B32+B30</f>
        <v>0</v>
      </c>
      <c r="D39" s="24">
        <f>+D37+D32+D30</f>
        <v>0</v>
      </c>
      <c r="F39" s="4">
        <f>+F37+F32+F30</f>
        <v>1144787.81</v>
      </c>
      <c r="H39" s="24">
        <f>+H37+H32+H30</f>
        <v>997858.86999999988</v>
      </c>
    </row>
    <row r="40" spans="1:8" x14ac:dyDescent="0.35">
      <c r="D40" s="24"/>
      <c r="F40" s="4"/>
      <c r="H40" s="24"/>
    </row>
    <row r="41" spans="1:8" x14ac:dyDescent="0.35">
      <c r="A41" s="23" t="s">
        <v>26</v>
      </c>
      <c r="D41" s="24"/>
      <c r="F41" s="4"/>
      <c r="H41" s="24"/>
    </row>
    <row r="42" spans="1:8" x14ac:dyDescent="0.35">
      <c r="A42" s="23" t="s">
        <v>27</v>
      </c>
      <c r="D42" s="24"/>
      <c r="F42" s="13">
        <v>2447245.86</v>
      </c>
      <c r="H42" s="24">
        <v>2447245.86</v>
      </c>
    </row>
    <row r="43" spans="1:8" x14ac:dyDescent="0.35">
      <c r="A43" s="23" t="s">
        <v>28</v>
      </c>
      <c r="D43" s="24"/>
      <c r="F43" s="13">
        <v>1486338.08</v>
      </c>
      <c r="H43" s="24">
        <v>1369517.33</v>
      </c>
    </row>
    <row r="44" spans="1:8" x14ac:dyDescent="0.35">
      <c r="A44" s="23" t="s">
        <v>33</v>
      </c>
      <c r="B44" s="30"/>
      <c r="D44" s="30"/>
      <c r="F44" s="14">
        <v>-191156.42</v>
      </c>
      <c r="H44" s="30">
        <v>-83639.960000000006</v>
      </c>
    </row>
    <row r="45" spans="1:8" x14ac:dyDescent="0.35">
      <c r="A45" s="23" t="s">
        <v>29</v>
      </c>
      <c r="B45" s="35">
        <f>+B42+B43+B44</f>
        <v>0</v>
      </c>
      <c r="D45" s="35">
        <f>+D42+D43+D44</f>
        <v>0</v>
      </c>
      <c r="F45" s="16">
        <f>+F42+F43+F44</f>
        <v>3742427.52</v>
      </c>
      <c r="H45" s="35">
        <f>+H42+H43+H44</f>
        <v>3733123.23</v>
      </c>
    </row>
    <row r="46" spans="1:8" x14ac:dyDescent="0.35">
      <c r="D46" s="24"/>
      <c r="F46" s="13"/>
      <c r="H46" s="24"/>
    </row>
    <row r="47" spans="1:8" ht="15" thickBot="1" x14ac:dyDescent="0.4">
      <c r="A47" s="23" t="s">
        <v>30</v>
      </c>
      <c r="B47" s="31">
        <f>B45+B39</f>
        <v>0</v>
      </c>
      <c r="D47" s="31">
        <f>D45+D39</f>
        <v>0</v>
      </c>
      <c r="F47" s="15">
        <f>F45+F39</f>
        <v>4887215.33</v>
      </c>
      <c r="H47" s="31">
        <f>H45+H39</f>
        <v>4730982.0999999996</v>
      </c>
    </row>
    <row r="48" spans="1:8" ht="15" thickTop="1" x14ac:dyDescent="0.35"/>
  </sheetData>
  <pageMargins left="0.7" right="0.7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 2020</vt:lpstr>
      <vt:lpstr>Feb 2020</vt:lpstr>
      <vt:lpstr>March 2020</vt:lpstr>
      <vt:lpstr>Apr 2020</vt:lpstr>
      <vt:lpstr>May 2020</vt:lpstr>
      <vt:lpstr>June 2020</vt:lpstr>
      <vt:lpstr>July 2020</vt:lpstr>
      <vt:lpstr>Aug 2020</vt:lpstr>
      <vt:lpstr>Sept 2020</vt:lpstr>
      <vt:lpstr>Oct 2020</vt:lpstr>
      <vt:lpstr>Nov 2020</vt:lpstr>
      <vt:lpstr>Dec 2020</vt:lpstr>
    </vt:vector>
  </TitlesOfParts>
  <Company>GHCH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HOWDEN</dc:creator>
  <cp:lastModifiedBy>Brandi Bednarik</cp:lastModifiedBy>
  <cp:lastPrinted>2020-05-22T19:01:21Z</cp:lastPrinted>
  <dcterms:created xsi:type="dcterms:W3CDTF">2013-01-21T14:06:14Z</dcterms:created>
  <dcterms:modified xsi:type="dcterms:W3CDTF">2020-05-29T20:59:58Z</dcterms:modified>
</cp:coreProperties>
</file>